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-24\"/>
    </mc:Choice>
  </mc:AlternateContent>
  <xr:revisionPtr revIDLastSave="0" documentId="13_ncr:1_{8D5DBAA7-E52D-4F84-ABB9-9EFBFB6D13AC}" xr6:coauthVersionLast="47" xr6:coauthVersionMax="47" xr10:uidLastSave="{00000000-0000-0000-0000-000000000000}"/>
  <bookViews>
    <workbookView xWindow="-28920" yWindow="-45" windowWidth="29040" windowHeight="15720" activeTab="1" xr2:uid="{88192786-73D5-4644-90DB-2CFA3F67346C}"/>
  </bookViews>
  <sheets>
    <sheet name="2024 - 2025" sheetId="2" r:id="rId1"/>
    <sheet name="breakdown" sheetId="3" r:id="rId2"/>
  </sheets>
  <externalReferences>
    <externalReference r:id="rId3"/>
  </externalReferences>
  <definedNames>
    <definedName name="_xlnm.Print_Area" localSheetId="0">'2024 - 2025'!$A$1:$I$77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3" l="1"/>
  <c r="T26" i="3"/>
  <c r="T27" i="3"/>
  <c r="T28" i="3"/>
  <c r="T29" i="3"/>
  <c r="T24" i="3"/>
  <c r="R29" i="3"/>
  <c r="R28" i="3"/>
  <c r="R27" i="3"/>
  <c r="R26" i="3"/>
  <c r="R25" i="3"/>
  <c r="R24" i="3"/>
  <c r="I26" i="2"/>
  <c r="I77" i="2"/>
  <c r="I75" i="2"/>
  <c r="G75" i="2"/>
  <c r="H75" i="2"/>
  <c r="G73" i="2"/>
  <c r="H73" i="2"/>
  <c r="I73" i="2"/>
  <c r="B34" i="3"/>
  <c r="M34" i="3"/>
  <c r="K25" i="3"/>
  <c r="K26" i="3"/>
  <c r="K31" i="3"/>
  <c r="K32" i="3"/>
  <c r="K33" i="3"/>
  <c r="K34" i="3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J25" i="3"/>
  <c r="J26" i="3"/>
  <c r="J27" i="3"/>
  <c r="K27" i="3" s="1"/>
  <c r="J28" i="3"/>
  <c r="K28" i="3" s="1"/>
  <c r="J29" i="3"/>
  <c r="K29" i="3" s="1"/>
  <c r="J30" i="3"/>
  <c r="K30" i="3" s="1"/>
  <c r="J31" i="3"/>
  <c r="J32" i="3"/>
  <c r="J33" i="3"/>
  <c r="J34" i="3"/>
  <c r="L24" i="3"/>
  <c r="M24" i="3" s="1"/>
  <c r="J24" i="3"/>
  <c r="K24" i="3" s="1"/>
  <c r="C44" i="3"/>
  <c r="C43" i="3"/>
  <c r="T40" i="3"/>
  <c r="E6" i="3"/>
  <c r="P6" i="3" s="1"/>
  <c r="E7" i="3"/>
  <c r="P7" i="3" s="1"/>
  <c r="E8" i="3"/>
  <c r="P8" i="3" s="1"/>
  <c r="E9" i="3"/>
  <c r="P9" i="3" s="1"/>
  <c r="E10" i="3"/>
  <c r="P10" i="3" s="1"/>
  <c r="E14" i="3" l="1"/>
  <c r="P14" i="3" s="1"/>
  <c r="C46" i="3" l="1"/>
  <c r="P40" i="3"/>
  <c r="L40" i="3"/>
  <c r="K40" i="3"/>
  <c r="D40" i="3"/>
  <c r="G40" i="3" s="1"/>
  <c r="B33" i="3"/>
  <c r="O16" i="3"/>
  <c r="N16" i="3"/>
  <c r="J16" i="3"/>
  <c r="H16" i="3"/>
  <c r="F16" i="3"/>
  <c r="B16" i="3"/>
  <c r="U15" i="3"/>
  <c r="V15" i="3" s="1"/>
  <c r="T15" i="3"/>
  <c r="L15" i="3"/>
  <c r="K15" i="3"/>
  <c r="E15" i="3"/>
  <c r="P15" i="3" s="1"/>
  <c r="D15" i="3"/>
  <c r="U14" i="3"/>
  <c r="V14" i="3" s="1"/>
  <c r="T14" i="3"/>
  <c r="L14" i="3"/>
  <c r="K14" i="3"/>
  <c r="D14" i="3"/>
  <c r="U13" i="3"/>
  <c r="V13" i="3" s="1"/>
  <c r="L13" i="3"/>
  <c r="I13" i="3"/>
  <c r="K13" i="3" s="1"/>
  <c r="E13" i="3"/>
  <c r="D13" i="3"/>
  <c r="U12" i="3"/>
  <c r="V12" i="3" s="1"/>
  <c r="L12" i="3"/>
  <c r="L16" i="3" s="1"/>
  <c r="I12" i="3"/>
  <c r="T12" i="3" s="1"/>
  <c r="E12" i="3"/>
  <c r="P12" i="3" s="1"/>
  <c r="D12" i="3"/>
  <c r="U11" i="3"/>
  <c r="V11" i="3" s="1"/>
  <c r="T11" i="3"/>
  <c r="L11" i="3"/>
  <c r="K11" i="3"/>
  <c r="E11" i="3"/>
  <c r="P11" i="3" s="1"/>
  <c r="D11" i="3"/>
  <c r="U10" i="3"/>
  <c r="V10" i="3" s="1"/>
  <c r="T10" i="3"/>
  <c r="L10" i="3"/>
  <c r="K10" i="3"/>
  <c r="D10" i="3"/>
  <c r="G10" i="3" s="1"/>
  <c r="U9" i="3"/>
  <c r="V9" i="3" s="1"/>
  <c r="T9" i="3"/>
  <c r="L9" i="3"/>
  <c r="K9" i="3"/>
  <c r="D9" i="3"/>
  <c r="G9" i="3" s="1"/>
  <c r="U8" i="3"/>
  <c r="V8" i="3" s="1"/>
  <c r="T8" i="3"/>
  <c r="L8" i="3"/>
  <c r="K8" i="3"/>
  <c r="D8" i="3"/>
  <c r="G8" i="3" s="1"/>
  <c r="U7" i="3"/>
  <c r="V7" i="3" s="1"/>
  <c r="T7" i="3"/>
  <c r="L7" i="3"/>
  <c r="K7" i="3"/>
  <c r="D7" i="3"/>
  <c r="G7" i="3" s="1"/>
  <c r="U6" i="3"/>
  <c r="V6" i="3" s="1"/>
  <c r="T6" i="3"/>
  <c r="K6" i="3"/>
  <c r="D6" i="3"/>
  <c r="G6" i="3" s="1"/>
  <c r="U5" i="3"/>
  <c r="V5" i="3" s="1"/>
  <c r="T5" i="3"/>
  <c r="K5" i="3"/>
  <c r="G5" i="3"/>
  <c r="B73" i="2"/>
  <c r="G72" i="2"/>
  <c r="H72" i="2" s="1"/>
  <c r="D71" i="2"/>
  <c r="G71" i="2" s="1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D63" i="2"/>
  <c r="D73" i="2" s="1"/>
  <c r="G62" i="2"/>
  <c r="H62" i="2" s="1"/>
  <c r="G61" i="2"/>
  <c r="H61" i="2" s="1"/>
  <c r="G60" i="2"/>
  <c r="H60" i="2" s="1"/>
  <c r="G59" i="2"/>
  <c r="H59" i="2" s="1"/>
  <c r="F56" i="2"/>
  <c r="D56" i="2"/>
  <c r="B56" i="2"/>
  <c r="G56" i="2" s="1"/>
  <c r="H56" i="2" s="1"/>
  <c r="H55" i="2"/>
  <c r="G55" i="2"/>
  <c r="G54" i="2"/>
  <c r="H54" i="2" s="1"/>
  <c r="B51" i="2"/>
  <c r="D50" i="2"/>
  <c r="G50" i="2" s="1"/>
  <c r="H50" i="2" s="1"/>
  <c r="F49" i="2"/>
  <c r="F51" i="2" s="1"/>
  <c r="D49" i="2"/>
  <c r="G49" i="2" s="1"/>
  <c r="H49" i="2" s="1"/>
  <c r="F46" i="2"/>
  <c r="D46" i="2"/>
  <c r="B46" i="2"/>
  <c r="G45" i="2"/>
  <c r="H45" i="2" s="1"/>
  <c r="G44" i="2"/>
  <c r="H44" i="2" s="1"/>
  <c r="G43" i="2"/>
  <c r="H43" i="2" s="1"/>
  <c r="G42" i="2"/>
  <c r="H42" i="2" s="1"/>
  <c r="B39" i="2"/>
  <c r="G38" i="2"/>
  <c r="H38" i="2" s="1"/>
  <c r="D37" i="2"/>
  <c r="G37" i="2" s="1"/>
  <c r="H37" i="2" s="1"/>
  <c r="G36" i="2"/>
  <c r="H36" i="2" s="1"/>
  <c r="G35" i="2"/>
  <c r="H35" i="2" s="1"/>
  <c r="D34" i="2"/>
  <c r="G34" i="2" s="1"/>
  <c r="H34" i="2" s="1"/>
  <c r="D33" i="2"/>
  <c r="G33" i="2" s="1"/>
  <c r="H33" i="2" s="1"/>
  <c r="D32" i="2"/>
  <c r="G31" i="2"/>
  <c r="H31" i="2" s="1"/>
  <c r="F24" i="2"/>
  <c r="B24" i="2"/>
  <c r="G23" i="2"/>
  <c r="H23" i="2" s="1"/>
  <c r="H22" i="2"/>
  <c r="G22" i="2"/>
  <c r="G21" i="2"/>
  <c r="H21" i="2" s="1"/>
  <c r="D20" i="2"/>
  <c r="G20" i="2" s="1"/>
  <c r="H20" i="2" s="1"/>
  <c r="G19" i="2"/>
  <c r="H19" i="2" s="1"/>
  <c r="G18" i="2"/>
  <c r="H18" i="2" s="1"/>
  <c r="G17" i="2"/>
  <c r="H17" i="2" s="1"/>
  <c r="D14" i="2"/>
  <c r="B14" i="2"/>
  <c r="B26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13" i="3" l="1"/>
  <c r="P13" i="3"/>
  <c r="D16" i="3"/>
  <c r="G12" i="3"/>
  <c r="G15" i="3"/>
  <c r="G11" i="3"/>
  <c r="E16" i="3"/>
  <c r="D24" i="2"/>
  <c r="G24" i="2" s="1"/>
  <c r="H24" i="2" s="1"/>
  <c r="G46" i="2"/>
  <c r="H46" i="2" s="1"/>
  <c r="G63" i="2"/>
  <c r="H63" i="2" s="1"/>
  <c r="D26" i="2"/>
  <c r="B75" i="2"/>
  <c r="B77" i="2" s="1"/>
  <c r="T16" i="3"/>
  <c r="U16" i="3" s="1"/>
  <c r="M5" i="3"/>
  <c r="G14" i="3"/>
  <c r="T13" i="3"/>
  <c r="P16" i="3"/>
  <c r="I16" i="3"/>
  <c r="K12" i="3"/>
  <c r="K16" i="3" s="1"/>
  <c r="G26" i="2"/>
  <c r="H26" i="2" s="1"/>
  <c r="D51" i="2"/>
  <c r="G51" i="2" s="1"/>
  <c r="H51" i="2" s="1"/>
  <c r="G14" i="2"/>
  <c r="H14" i="2" s="1"/>
  <c r="G32" i="2"/>
  <c r="H32" i="2" s="1"/>
  <c r="D39" i="2"/>
  <c r="G39" i="2" s="1"/>
  <c r="H39" i="2" s="1"/>
  <c r="M13" i="3" l="1"/>
  <c r="Q13" i="3" s="1"/>
  <c r="R13" i="3" s="1"/>
  <c r="M11" i="3"/>
  <c r="Q11" i="3" s="1"/>
  <c r="R11" i="3" s="1"/>
  <c r="M9" i="3"/>
  <c r="Q9" i="3" s="1"/>
  <c r="R9" i="3" s="1"/>
  <c r="M7" i="3"/>
  <c r="Q7" i="3" s="1"/>
  <c r="R7" i="3" s="1"/>
  <c r="M40" i="3"/>
  <c r="Q40" i="3" s="1"/>
  <c r="R40" i="3" s="1"/>
  <c r="M14" i="3"/>
  <c r="Q14" i="3" s="1"/>
  <c r="R14" i="3" s="1"/>
  <c r="M15" i="3"/>
  <c r="Q15" i="3" s="1"/>
  <c r="R15" i="3" s="1"/>
  <c r="M12" i="3"/>
  <c r="Q12" i="3" s="1"/>
  <c r="R12" i="3" s="1"/>
  <c r="M10" i="3"/>
  <c r="Q10" i="3" s="1"/>
  <c r="R10" i="3" s="1"/>
  <c r="M8" i="3"/>
  <c r="Q8" i="3" s="1"/>
  <c r="R8" i="3" s="1"/>
  <c r="M6" i="3"/>
  <c r="Q6" i="3" s="1"/>
  <c r="R6" i="3" s="1"/>
  <c r="G16" i="3"/>
  <c r="D75" i="2"/>
  <c r="M16" i="3" l="1"/>
  <c r="Q5" i="3"/>
  <c r="D77" i="2"/>
  <c r="G77" i="2" s="1"/>
  <c r="H77" i="2" s="1"/>
  <c r="F8" i="2"/>
  <c r="F11" i="2"/>
  <c r="Q16" i="3" l="1"/>
  <c r="R5" i="3"/>
  <c r="R16" i="3" s="1"/>
  <c r="F13" i="2"/>
  <c r="F34" i="2"/>
  <c r="F31" i="2"/>
  <c r="F12" i="2"/>
  <c r="F9" i="2"/>
  <c r="F32" i="2"/>
  <c r="F33" i="2" l="1"/>
  <c r="F68" i="2"/>
  <c r="F36" i="2"/>
  <c r="F10" i="2"/>
  <c r="F14" i="2" s="1"/>
  <c r="F63" i="2" s="1"/>
  <c r="F73" i="2" s="1"/>
  <c r="F35" i="2"/>
  <c r="F39" i="2" l="1"/>
  <c r="F75" i="2" s="1"/>
  <c r="F26" i="2"/>
  <c r="F77" i="2" l="1"/>
</calcChain>
</file>

<file path=xl/sharedStrings.xml><?xml version="1.0" encoding="utf-8"?>
<sst xmlns="http://schemas.openxmlformats.org/spreadsheetml/2006/main" count="167" uniqueCount="116">
  <si>
    <t>WVMHA</t>
  </si>
  <si>
    <t/>
  </si>
  <si>
    <t xml:space="preserve"> </t>
  </si>
  <si>
    <t>REVENUE</t>
  </si>
  <si>
    <t>ACTUAL VS BUDGET 23/24</t>
  </si>
  <si>
    <t>Season Registrations</t>
  </si>
  <si>
    <t>ACTUAL</t>
  </si>
  <si>
    <t>BUDGET 23/24</t>
  </si>
  <si>
    <t>BUDGET 24-25</t>
  </si>
  <si>
    <t>Variance</t>
  </si>
  <si>
    <t>%</t>
  </si>
  <si>
    <t>U7 Registration</t>
  </si>
  <si>
    <t>U9 Registration</t>
  </si>
  <si>
    <t>U11 Registration</t>
  </si>
  <si>
    <t>U13 Registration</t>
  </si>
  <si>
    <t>U15 Registration</t>
  </si>
  <si>
    <t>U18 Registration</t>
  </si>
  <si>
    <t>Total Registrations</t>
  </si>
  <si>
    <t>Other Revenue</t>
  </si>
  <si>
    <t>Evaluations</t>
  </si>
  <si>
    <t>Pre Evaluations</t>
  </si>
  <si>
    <t>Rafflebox</t>
  </si>
  <si>
    <t>Development</t>
  </si>
  <si>
    <t>Grants</t>
  </si>
  <si>
    <t>Donations</t>
  </si>
  <si>
    <t>Miscellaneous Revenue</t>
  </si>
  <si>
    <t>Total Other Revenue</t>
  </si>
  <si>
    <t>TOTAL REVENUE</t>
  </si>
  <si>
    <t>EXPENSE</t>
  </si>
  <si>
    <t>Cost of Ice</t>
  </si>
  <si>
    <t xml:space="preserve">U7 Ice </t>
  </si>
  <si>
    <t xml:space="preserve">U9 Ice </t>
  </si>
  <si>
    <t xml:space="preserve">U11 Ice </t>
  </si>
  <si>
    <t xml:space="preserve">U13 Ice </t>
  </si>
  <si>
    <t xml:space="preserve">U15 Ice </t>
  </si>
  <si>
    <t xml:space="preserve">U18 Ice </t>
  </si>
  <si>
    <t>Pre Evaluation Ice</t>
  </si>
  <si>
    <t>Misc Ice</t>
  </si>
  <si>
    <t>Total Cost of Ice</t>
  </si>
  <si>
    <t>Evaluation Ice</t>
  </si>
  <si>
    <t>Evaluators</t>
  </si>
  <si>
    <t>Evaluation Misc</t>
  </si>
  <si>
    <t>Evaluations - Refs</t>
  </si>
  <si>
    <t>Total Evaluation Cost</t>
  </si>
  <si>
    <t>Development Ice</t>
  </si>
  <si>
    <t>Development Expenses</t>
  </si>
  <si>
    <t>Total Development</t>
  </si>
  <si>
    <t>Referee Expenses</t>
  </si>
  <si>
    <t>Referee Fees</t>
  </si>
  <si>
    <t>Referee Travel Fees</t>
  </si>
  <si>
    <t>Total Referee Expenses</t>
  </si>
  <si>
    <t>General &amp; Administrative Expenses</t>
  </si>
  <si>
    <t>Advertising</t>
  </si>
  <si>
    <t>Business Fees &amp; Licenses</t>
  </si>
  <si>
    <t>Coaching Courses</t>
  </si>
  <si>
    <t>Courier &amp; Postage</t>
  </si>
  <si>
    <t>Credit Card Charges</t>
  </si>
  <si>
    <t>Equipment</t>
  </si>
  <si>
    <t>Gray Jay Service Fees</t>
  </si>
  <si>
    <t>HNS Fees/Insurance</t>
  </si>
  <si>
    <t>Interest &amp; Bank Charges</t>
  </si>
  <si>
    <t>League Fees</t>
  </si>
  <si>
    <t>Miscellaneous Expenses</t>
  </si>
  <si>
    <t>Spordle Fees</t>
  </si>
  <si>
    <t>Website Domain</t>
  </si>
  <si>
    <t>Total General &amp; Admin. Expenses</t>
  </si>
  <si>
    <t>TOTAL EXPENSE</t>
  </si>
  <si>
    <t>NET INCOME</t>
  </si>
  <si>
    <t># of teams</t>
  </si>
  <si>
    <t>age level</t>
  </si>
  <si>
    <t># practices</t>
  </si>
  <si>
    <t xml:space="preserve"># games </t>
  </si>
  <si>
    <t>average cost of ice/hour</t>
  </si>
  <si>
    <t>Ice cost</t>
  </si>
  <si>
    <t># Bench staff</t>
  </si>
  <si>
    <t># players</t>
  </si>
  <si>
    <t xml:space="preserve">HNS ins &amp; Kidsport </t>
  </si>
  <si>
    <t>HNS ins &amp; Kidsportfor Bench &amp; Players</t>
  </si>
  <si>
    <t>WV ADMIN Fee</t>
  </si>
  <si>
    <t>ref fees</t>
  </si>
  <si>
    <t>ref travel</t>
  </si>
  <si>
    <t>total ref fees</t>
  </si>
  <si>
    <t>total regular season costs</t>
  </si>
  <si>
    <t>actual cost per player</t>
  </si>
  <si>
    <t>Registration Fees</t>
  </si>
  <si>
    <t>fees to be collected</t>
  </si>
  <si>
    <t>New Amount</t>
  </si>
  <si>
    <t>Amount of Increase</t>
  </si>
  <si>
    <t xml:space="preserve">Community </t>
  </si>
  <si>
    <t>U7</t>
  </si>
  <si>
    <t>U9</t>
  </si>
  <si>
    <t>U11</t>
  </si>
  <si>
    <t>U13</t>
  </si>
  <si>
    <t>U15</t>
  </si>
  <si>
    <t>U18</t>
  </si>
  <si>
    <t xml:space="preserve">Competitive </t>
  </si>
  <si>
    <t>TOTALS</t>
  </si>
  <si>
    <t>WV Admin</t>
  </si>
  <si>
    <t>AVMHL Per player</t>
  </si>
  <si>
    <t>SMHL per team</t>
  </si>
  <si>
    <t>HNS per team</t>
  </si>
  <si>
    <t>Register/</t>
  </si>
  <si>
    <t xml:space="preserve">Total </t>
  </si>
  <si>
    <t>Per Player</t>
  </si>
  <si>
    <t>U13AAA</t>
  </si>
  <si>
    <t>50 kids</t>
  </si>
  <si>
    <t>BUDGET 2024/25</t>
  </si>
  <si>
    <t>10% $$</t>
  </si>
  <si>
    <t>15% $$</t>
  </si>
  <si>
    <t>10% rate</t>
  </si>
  <si>
    <t>15% rate</t>
  </si>
  <si>
    <t>Existing rate</t>
  </si>
  <si>
    <t>Stipends</t>
  </si>
  <si>
    <t>Total Season cost community</t>
  </si>
  <si>
    <t>Competitive Fee</t>
  </si>
  <si>
    <t>Total season cost competitive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</si>
</sst>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#,##0\ ;\-#,##0"/>
    <numFmt numFmtId="165" formatCode="#,##0.00\ ;\-#,##0.00"/>
    <numFmt numFmtId="166" formatCode="#,##0.0_);\(#,##0.0\)"/>
    <numFmt numFmtId="167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quotePrefix="1" applyFont="1" applyAlignment="1">
      <alignment horizontal="left"/>
    </xf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4" fillId="0" borderId="0" xfId="0" applyFont="1"/>
    <xf numFmtId="0" fontId="5" fillId="0" borderId="0" xfId="0" quotePrefix="1" applyFont="1" applyAlignment="1">
      <alignment horizontal="left"/>
    </xf>
    <xf numFmtId="9" fontId="4" fillId="0" borderId="0" xfId="0" applyNumberFormat="1" applyFont="1"/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4" fillId="2" borderId="0" xfId="0" applyNumberFormat="1" applyFont="1" applyFill="1"/>
    <xf numFmtId="10" fontId="4" fillId="2" borderId="0" xfId="2" applyNumberFormat="1" applyFont="1" applyFill="1"/>
    <xf numFmtId="165" fontId="5" fillId="3" borderId="0" xfId="0" applyNumberFormat="1" applyFont="1" applyFill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/>
    <xf numFmtId="166" fontId="4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4" fontId="7" fillId="0" borderId="0" xfId="0" applyNumberFormat="1" applyFont="1"/>
    <xf numFmtId="164" fontId="7" fillId="4" borderId="0" xfId="0" applyNumberFormat="1" applyFont="1" applyFill="1"/>
    <xf numFmtId="164" fontId="7" fillId="2" borderId="0" xfId="0" applyNumberFormat="1" applyFont="1" applyFill="1"/>
    <xf numFmtId="166" fontId="7" fillId="2" borderId="0" xfId="0" applyNumberFormat="1" applyFont="1" applyFill="1"/>
    <xf numFmtId="0" fontId="3" fillId="5" borderId="0" xfId="0" quotePrefix="1" applyFont="1" applyFill="1" applyAlignment="1">
      <alignment horizontal="left"/>
    </xf>
    <xf numFmtId="164" fontId="3" fillId="5" borderId="3" xfId="0" applyNumberFormat="1" applyFont="1" applyFill="1" applyBorder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167" fontId="8" fillId="7" borderId="4" xfId="1" applyNumberFormat="1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167" fontId="8" fillId="0" borderId="4" xfId="1" applyNumberFormat="1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wrapText="1"/>
    </xf>
    <xf numFmtId="167" fontId="9" fillId="0" borderId="4" xfId="0" applyNumberFormat="1" applyFont="1" applyBorder="1" applyAlignment="1">
      <alignment horizontal="center" wrapText="1"/>
    </xf>
    <xf numFmtId="167" fontId="8" fillId="0" borderId="4" xfId="1" applyNumberFormat="1" applyFont="1" applyBorder="1" applyAlignment="1">
      <alignment horizontal="center" wrapText="1"/>
    </xf>
    <xf numFmtId="167" fontId="8" fillId="7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wrapText="1"/>
    </xf>
    <xf numFmtId="167" fontId="9" fillId="2" borderId="4" xfId="1" applyNumberFormat="1" applyFont="1" applyFill="1" applyBorder="1" applyAlignment="1">
      <alignment horizontal="center" wrapText="1"/>
    </xf>
    <xf numFmtId="167" fontId="9" fillId="2" borderId="4" xfId="1" applyNumberFormat="1" applyFont="1" applyFill="1" applyBorder="1" applyAlignment="1">
      <alignment wrapText="1"/>
    </xf>
    <xf numFmtId="167" fontId="9" fillId="2" borderId="4" xfId="0" applyNumberFormat="1" applyFont="1" applyFill="1" applyBorder="1" applyAlignment="1">
      <alignment horizontal="center" wrapText="1"/>
    </xf>
    <xf numFmtId="167" fontId="9" fillId="2" borderId="5" xfId="1" applyNumberFormat="1" applyFont="1" applyFill="1" applyBorder="1" applyAlignment="1">
      <alignment horizontal="center" wrapText="1"/>
    </xf>
    <xf numFmtId="9" fontId="0" fillId="0" borderId="0" xfId="2" applyFont="1"/>
    <xf numFmtId="0" fontId="2" fillId="2" borderId="0" xfId="0" applyFont="1" applyFill="1"/>
    <xf numFmtId="167" fontId="0" fillId="0" borderId="0" xfId="1" applyNumberFormat="1" applyFont="1"/>
    <xf numFmtId="167" fontId="0" fillId="3" borderId="0" xfId="1" applyNumberFormat="1" applyFont="1" applyFill="1"/>
    <xf numFmtId="0" fontId="2" fillId="0" borderId="6" xfId="0" applyFont="1" applyBorder="1" applyAlignment="1">
      <alignment horizontal="right"/>
    </xf>
    <xf numFmtId="167" fontId="2" fillId="0" borderId="7" xfId="1" applyNumberFormat="1" applyFont="1" applyBorder="1"/>
    <xf numFmtId="0" fontId="2" fillId="0" borderId="8" xfId="0" applyFont="1" applyBorder="1" applyAlignment="1">
      <alignment horizontal="right"/>
    </xf>
    <xf numFmtId="167" fontId="2" fillId="0" borderId="9" xfId="1" applyNumberFormat="1" applyFont="1" applyBorder="1"/>
    <xf numFmtId="0" fontId="8" fillId="3" borderId="4" xfId="0" applyFont="1" applyFill="1" applyBorder="1" applyAlignment="1">
      <alignment horizontal="center" wrapText="1"/>
    </xf>
    <xf numFmtId="6" fontId="0" fillId="0" borderId="0" xfId="0" applyNumberFormat="1"/>
    <xf numFmtId="0" fontId="8" fillId="0" borderId="10" xfId="0" applyFont="1" applyBorder="1" applyAlignment="1">
      <alignment wrapText="1"/>
    </xf>
    <xf numFmtId="167" fontId="8" fillId="0" borderId="10" xfId="1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167" fontId="8" fillId="0" borderId="11" xfId="1" applyNumberFormat="1" applyFont="1" applyBorder="1" applyAlignment="1">
      <alignment horizontal="center" wrapText="1"/>
    </xf>
    <xf numFmtId="0" fontId="8" fillId="8" borderId="12" xfId="0" applyFont="1" applyFill="1" applyBorder="1" applyAlignment="1">
      <alignment wrapText="1"/>
    </xf>
    <xf numFmtId="167" fontId="8" fillId="8" borderId="13" xfId="1" applyNumberFormat="1" applyFont="1" applyFill="1" applyBorder="1" applyAlignment="1">
      <alignment horizontal="center" wrapText="1"/>
    </xf>
    <xf numFmtId="167" fontId="8" fillId="8" borderId="14" xfId="1" applyNumberFormat="1" applyFont="1" applyFill="1" applyBorder="1" applyAlignment="1">
      <alignment horizontal="center" wrapText="1"/>
    </xf>
    <xf numFmtId="1" fontId="8" fillId="7" borderId="4" xfId="0" applyNumberFormat="1" applyFont="1" applyFill="1" applyBorder="1" applyAlignment="1">
      <alignment horizontal="center" wrapText="1"/>
    </xf>
    <xf numFmtId="167" fontId="0" fillId="0" borderId="15" xfId="1" applyNumberFormat="1" applyFont="1" applyBorder="1" applyAlignment="1">
      <alignment horizontal="center"/>
    </xf>
    <xf numFmtId="167" fontId="0" fillId="0" borderId="15" xfId="1" applyNumberFormat="1" applyFont="1" applyBorder="1" applyAlignment="1"/>
    <xf numFmtId="0" fontId="2" fillId="2" borderId="15" xfId="0" applyFont="1" applyFill="1" applyBorder="1"/>
    <xf numFmtId="0" fontId="11" fillId="2" borderId="15" xfId="0" applyFont="1" applyFill="1" applyBorder="1" applyAlignment="1">
      <alignment horizontal="center" wrapText="1"/>
    </xf>
    <xf numFmtId="9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7" fontId="10" fillId="0" borderId="4" xfId="1" applyNumberFormat="1" applyFont="1" applyBorder="1" applyAlignment="1">
      <alignment horizontal="center" wrapText="1"/>
    </xf>
    <xf numFmtId="0" fontId="12" fillId="0" borderId="0" xfId="0" applyFont="1"/>
    <xf numFmtId="0" fontId="6" fillId="2" borderId="0" xfId="0" applyFont="1" applyFill="1" applyAlignment="1">
      <alignment horizontal="center"/>
    </xf>
    <xf numFmtId="9" fontId="2" fillId="2" borderId="0" xfId="0" applyNumberFormat="1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-24\Income%20Oct%202023.xls" TargetMode="External"/><Relationship Id="rId1" Type="http://schemas.openxmlformats.org/officeDocument/2006/relationships/externalLinkPath" Target="Income%20Oct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 2023"/>
      <sheetName val="Jan 2024"/>
      <sheetName val="Gorman"/>
      <sheetName val="March 2024"/>
      <sheetName val="Sheet1"/>
      <sheetName val="2024 - 2025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32800</v>
          </cell>
          <cell r="T5">
            <v>36000</v>
          </cell>
        </row>
        <row r="6">
          <cell r="G6">
            <v>16400</v>
          </cell>
          <cell r="T6">
            <v>18000</v>
          </cell>
        </row>
        <row r="7">
          <cell r="G7">
            <v>16400</v>
          </cell>
          <cell r="T7">
            <v>20700</v>
          </cell>
        </row>
        <row r="8">
          <cell r="G8">
            <v>16400</v>
          </cell>
          <cell r="T8">
            <v>21750</v>
          </cell>
        </row>
        <row r="9">
          <cell r="G9">
            <v>24600</v>
          </cell>
          <cell r="T9">
            <v>33975</v>
          </cell>
        </row>
        <row r="10">
          <cell r="G10">
            <v>20500</v>
          </cell>
          <cell r="T10">
            <v>28730</v>
          </cell>
        </row>
        <row r="11">
          <cell r="G11">
            <v>24600</v>
          </cell>
          <cell r="T11">
            <v>25200</v>
          </cell>
        </row>
        <row r="12">
          <cell r="G12">
            <v>42435</v>
          </cell>
          <cell r="T12">
            <v>50490</v>
          </cell>
        </row>
        <row r="13">
          <cell r="G13">
            <v>42435</v>
          </cell>
          <cell r="T13">
            <v>52275</v>
          </cell>
        </row>
        <row r="14">
          <cell r="G14">
            <v>28290</v>
          </cell>
          <cell r="T14">
            <v>35870</v>
          </cell>
        </row>
        <row r="15">
          <cell r="G15">
            <v>14145</v>
          </cell>
          <cell r="T15">
            <v>19465</v>
          </cell>
        </row>
        <row r="16">
          <cell r="L16">
            <v>5400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38DD-F63B-4E78-A1A2-3B7E186A179B}">
  <sheetPr>
    <pageSetUpPr fitToPage="1"/>
  </sheetPr>
  <dimension ref="A1:K78"/>
  <sheetViews>
    <sheetView view="pageBreakPreview" zoomScale="60" zoomScaleNormal="100" workbookViewId="0">
      <selection activeCell="B77" sqref="A1:B77"/>
    </sheetView>
  </sheetViews>
  <sheetFormatPr defaultRowHeight="17.399999999999999" x14ac:dyDescent="0.3"/>
  <cols>
    <col min="1" max="1" width="48.33203125" style="4" bestFit="1" customWidth="1"/>
    <col min="2" max="2" width="15.44140625" style="4" bestFit="1" customWidth="1"/>
    <col min="3" max="3" width="7.77734375" style="4" customWidth="1"/>
    <col min="4" max="4" width="19.77734375" style="4" customWidth="1"/>
    <col min="5" max="5" width="5.44140625" style="4" customWidth="1"/>
    <col min="6" max="6" width="27.21875" style="4" customWidth="1"/>
    <col min="7" max="7" width="15.6640625" style="3" hidden="1" customWidth="1"/>
    <col min="8" max="8" width="19.77734375" style="3" hidden="1" customWidth="1"/>
    <col min="9" max="9" width="27.21875" style="4" customWidth="1"/>
    <col min="10" max="10" width="13.77734375" style="4" customWidth="1"/>
    <col min="11" max="11" width="11.77734375" style="4" bestFit="1" customWidth="1"/>
    <col min="12" max="12" width="12.77734375" style="4" bestFit="1" customWidth="1"/>
    <col min="13" max="13" width="10.44140625" style="4" bestFit="1" customWidth="1"/>
    <col min="14" max="15" width="11.21875" style="4" bestFit="1" customWidth="1"/>
    <col min="16" max="256" width="8.88671875" style="4"/>
    <col min="257" max="257" width="38.44140625" style="4" customWidth="1"/>
    <col min="258" max="258" width="15.44140625" style="4" bestFit="1" customWidth="1"/>
    <col min="259" max="259" width="7.77734375" style="4" customWidth="1"/>
    <col min="260" max="260" width="19.77734375" style="4" customWidth="1"/>
    <col min="261" max="261" width="4.44140625" style="4" customWidth="1"/>
    <col min="262" max="262" width="27.21875" style="4" customWidth="1"/>
    <col min="263" max="263" width="15.6640625" style="4" customWidth="1"/>
    <col min="264" max="264" width="19.77734375" style="4" customWidth="1"/>
    <col min="265" max="265" width="8.88671875" style="4"/>
    <col min="266" max="266" width="13.77734375" style="4" customWidth="1"/>
    <col min="267" max="267" width="11.77734375" style="4" bestFit="1" customWidth="1"/>
    <col min="268" max="268" width="12.77734375" style="4" bestFit="1" customWidth="1"/>
    <col min="269" max="269" width="10.44140625" style="4" bestFit="1" customWidth="1"/>
    <col min="270" max="271" width="11.21875" style="4" bestFit="1" customWidth="1"/>
    <col min="272" max="512" width="8.88671875" style="4"/>
    <col min="513" max="513" width="38.44140625" style="4" customWidth="1"/>
    <col min="514" max="514" width="15.44140625" style="4" bestFit="1" customWidth="1"/>
    <col min="515" max="515" width="7.77734375" style="4" customWidth="1"/>
    <col min="516" max="516" width="19.77734375" style="4" customWidth="1"/>
    <col min="517" max="517" width="4.44140625" style="4" customWidth="1"/>
    <col min="518" max="518" width="27.21875" style="4" customWidth="1"/>
    <col min="519" max="519" width="15.6640625" style="4" customWidth="1"/>
    <col min="520" max="520" width="19.77734375" style="4" customWidth="1"/>
    <col min="521" max="521" width="8.88671875" style="4"/>
    <col min="522" max="522" width="13.77734375" style="4" customWidth="1"/>
    <col min="523" max="523" width="11.77734375" style="4" bestFit="1" customWidth="1"/>
    <col min="524" max="524" width="12.77734375" style="4" bestFit="1" customWidth="1"/>
    <col min="525" max="525" width="10.44140625" style="4" bestFit="1" customWidth="1"/>
    <col min="526" max="527" width="11.21875" style="4" bestFit="1" customWidth="1"/>
    <col min="528" max="768" width="8.88671875" style="4"/>
    <col min="769" max="769" width="38.44140625" style="4" customWidth="1"/>
    <col min="770" max="770" width="15.44140625" style="4" bestFit="1" customWidth="1"/>
    <col min="771" max="771" width="7.77734375" style="4" customWidth="1"/>
    <col min="772" max="772" width="19.77734375" style="4" customWidth="1"/>
    <col min="773" max="773" width="4.44140625" style="4" customWidth="1"/>
    <col min="774" max="774" width="27.21875" style="4" customWidth="1"/>
    <col min="775" max="775" width="15.6640625" style="4" customWidth="1"/>
    <col min="776" max="776" width="19.77734375" style="4" customWidth="1"/>
    <col min="777" max="777" width="8.88671875" style="4"/>
    <col min="778" max="778" width="13.77734375" style="4" customWidth="1"/>
    <col min="779" max="779" width="11.77734375" style="4" bestFit="1" customWidth="1"/>
    <col min="780" max="780" width="12.77734375" style="4" bestFit="1" customWidth="1"/>
    <col min="781" max="781" width="10.44140625" style="4" bestFit="1" customWidth="1"/>
    <col min="782" max="783" width="11.21875" style="4" bestFit="1" customWidth="1"/>
    <col min="784" max="1024" width="8.88671875" style="4"/>
    <col min="1025" max="1025" width="38.44140625" style="4" customWidth="1"/>
    <col min="1026" max="1026" width="15.44140625" style="4" bestFit="1" customWidth="1"/>
    <col min="1027" max="1027" width="7.77734375" style="4" customWidth="1"/>
    <col min="1028" max="1028" width="19.77734375" style="4" customWidth="1"/>
    <col min="1029" max="1029" width="4.44140625" style="4" customWidth="1"/>
    <col min="1030" max="1030" width="27.21875" style="4" customWidth="1"/>
    <col min="1031" max="1031" width="15.6640625" style="4" customWidth="1"/>
    <col min="1032" max="1032" width="19.77734375" style="4" customWidth="1"/>
    <col min="1033" max="1033" width="8.88671875" style="4"/>
    <col min="1034" max="1034" width="13.77734375" style="4" customWidth="1"/>
    <col min="1035" max="1035" width="11.77734375" style="4" bestFit="1" customWidth="1"/>
    <col min="1036" max="1036" width="12.77734375" style="4" bestFit="1" customWidth="1"/>
    <col min="1037" max="1037" width="10.44140625" style="4" bestFit="1" customWidth="1"/>
    <col min="1038" max="1039" width="11.21875" style="4" bestFit="1" customWidth="1"/>
    <col min="1040" max="1280" width="8.88671875" style="4"/>
    <col min="1281" max="1281" width="38.44140625" style="4" customWidth="1"/>
    <col min="1282" max="1282" width="15.44140625" style="4" bestFit="1" customWidth="1"/>
    <col min="1283" max="1283" width="7.77734375" style="4" customWidth="1"/>
    <col min="1284" max="1284" width="19.77734375" style="4" customWidth="1"/>
    <col min="1285" max="1285" width="4.44140625" style="4" customWidth="1"/>
    <col min="1286" max="1286" width="27.21875" style="4" customWidth="1"/>
    <col min="1287" max="1287" width="15.6640625" style="4" customWidth="1"/>
    <col min="1288" max="1288" width="19.77734375" style="4" customWidth="1"/>
    <col min="1289" max="1289" width="8.88671875" style="4"/>
    <col min="1290" max="1290" width="13.77734375" style="4" customWidth="1"/>
    <col min="1291" max="1291" width="11.77734375" style="4" bestFit="1" customWidth="1"/>
    <col min="1292" max="1292" width="12.77734375" style="4" bestFit="1" customWidth="1"/>
    <col min="1293" max="1293" width="10.44140625" style="4" bestFit="1" customWidth="1"/>
    <col min="1294" max="1295" width="11.21875" style="4" bestFit="1" customWidth="1"/>
    <col min="1296" max="1536" width="8.88671875" style="4"/>
    <col min="1537" max="1537" width="38.44140625" style="4" customWidth="1"/>
    <col min="1538" max="1538" width="15.44140625" style="4" bestFit="1" customWidth="1"/>
    <col min="1539" max="1539" width="7.77734375" style="4" customWidth="1"/>
    <col min="1540" max="1540" width="19.77734375" style="4" customWidth="1"/>
    <col min="1541" max="1541" width="4.44140625" style="4" customWidth="1"/>
    <col min="1542" max="1542" width="27.21875" style="4" customWidth="1"/>
    <col min="1543" max="1543" width="15.6640625" style="4" customWidth="1"/>
    <col min="1544" max="1544" width="19.77734375" style="4" customWidth="1"/>
    <col min="1545" max="1545" width="8.88671875" style="4"/>
    <col min="1546" max="1546" width="13.77734375" style="4" customWidth="1"/>
    <col min="1547" max="1547" width="11.77734375" style="4" bestFit="1" customWidth="1"/>
    <col min="1548" max="1548" width="12.77734375" style="4" bestFit="1" customWidth="1"/>
    <col min="1549" max="1549" width="10.44140625" style="4" bestFit="1" customWidth="1"/>
    <col min="1550" max="1551" width="11.21875" style="4" bestFit="1" customWidth="1"/>
    <col min="1552" max="1792" width="8.88671875" style="4"/>
    <col min="1793" max="1793" width="38.44140625" style="4" customWidth="1"/>
    <col min="1794" max="1794" width="15.44140625" style="4" bestFit="1" customWidth="1"/>
    <col min="1795" max="1795" width="7.77734375" style="4" customWidth="1"/>
    <col min="1796" max="1796" width="19.77734375" style="4" customWidth="1"/>
    <col min="1797" max="1797" width="4.44140625" style="4" customWidth="1"/>
    <col min="1798" max="1798" width="27.21875" style="4" customWidth="1"/>
    <col min="1799" max="1799" width="15.6640625" style="4" customWidth="1"/>
    <col min="1800" max="1800" width="19.77734375" style="4" customWidth="1"/>
    <col min="1801" max="1801" width="8.88671875" style="4"/>
    <col min="1802" max="1802" width="13.77734375" style="4" customWidth="1"/>
    <col min="1803" max="1803" width="11.77734375" style="4" bestFit="1" customWidth="1"/>
    <col min="1804" max="1804" width="12.77734375" style="4" bestFit="1" customWidth="1"/>
    <col min="1805" max="1805" width="10.44140625" style="4" bestFit="1" customWidth="1"/>
    <col min="1806" max="1807" width="11.21875" style="4" bestFit="1" customWidth="1"/>
    <col min="1808" max="2048" width="8.88671875" style="4"/>
    <col min="2049" max="2049" width="38.44140625" style="4" customWidth="1"/>
    <col min="2050" max="2050" width="15.44140625" style="4" bestFit="1" customWidth="1"/>
    <col min="2051" max="2051" width="7.77734375" style="4" customWidth="1"/>
    <col min="2052" max="2052" width="19.77734375" style="4" customWidth="1"/>
    <col min="2053" max="2053" width="4.44140625" style="4" customWidth="1"/>
    <col min="2054" max="2054" width="27.21875" style="4" customWidth="1"/>
    <col min="2055" max="2055" width="15.6640625" style="4" customWidth="1"/>
    <col min="2056" max="2056" width="19.77734375" style="4" customWidth="1"/>
    <col min="2057" max="2057" width="8.88671875" style="4"/>
    <col min="2058" max="2058" width="13.77734375" style="4" customWidth="1"/>
    <col min="2059" max="2059" width="11.77734375" style="4" bestFit="1" customWidth="1"/>
    <col min="2060" max="2060" width="12.77734375" style="4" bestFit="1" customWidth="1"/>
    <col min="2061" max="2061" width="10.44140625" style="4" bestFit="1" customWidth="1"/>
    <col min="2062" max="2063" width="11.21875" style="4" bestFit="1" customWidth="1"/>
    <col min="2064" max="2304" width="8.88671875" style="4"/>
    <col min="2305" max="2305" width="38.44140625" style="4" customWidth="1"/>
    <col min="2306" max="2306" width="15.44140625" style="4" bestFit="1" customWidth="1"/>
    <col min="2307" max="2307" width="7.77734375" style="4" customWidth="1"/>
    <col min="2308" max="2308" width="19.77734375" style="4" customWidth="1"/>
    <col min="2309" max="2309" width="4.44140625" style="4" customWidth="1"/>
    <col min="2310" max="2310" width="27.21875" style="4" customWidth="1"/>
    <col min="2311" max="2311" width="15.6640625" style="4" customWidth="1"/>
    <col min="2312" max="2312" width="19.77734375" style="4" customWidth="1"/>
    <col min="2313" max="2313" width="8.88671875" style="4"/>
    <col min="2314" max="2314" width="13.77734375" style="4" customWidth="1"/>
    <col min="2315" max="2315" width="11.77734375" style="4" bestFit="1" customWidth="1"/>
    <col min="2316" max="2316" width="12.77734375" style="4" bestFit="1" customWidth="1"/>
    <col min="2317" max="2317" width="10.44140625" style="4" bestFit="1" customWidth="1"/>
    <col min="2318" max="2319" width="11.21875" style="4" bestFit="1" customWidth="1"/>
    <col min="2320" max="2560" width="8.88671875" style="4"/>
    <col min="2561" max="2561" width="38.44140625" style="4" customWidth="1"/>
    <col min="2562" max="2562" width="15.44140625" style="4" bestFit="1" customWidth="1"/>
    <col min="2563" max="2563" width="7.77734375" style="4" customWidth="1"/>
    <col min="2564" max="2564" width="19.77734375" style="4" customWidth="1"/>
    <col min="2565" max="2565" width="4.44140625" style="4" customWidth="1"/>
    <col min="2566" max="2566" width="27.21875" style="4" customWidth="1"/>
    <col min="2567" max="2567" width="15.6640625" style="4" customWidth="1"/>
    <col min="2568" max="2568" width="19.77734375" style="4" customWidth="1"/>
    <col min="2569" max="2569" width="8.88671875" style="4"/>
    <col min="2570" max="2570" width="13.77734375" style="4" customWidth="1"/>
    <col min="2571" max="2571" width="11.77734375" style="4" bestFit="1" customWidth="1"/>
    <col min="2572" max="2572" width="12.77734375" style="4" bestFit="1" customWidth="1"/>
    <col min="2573" max="2573" width="10.44140625" style="4" bestFit="1" customWidth="1"/>
    <col min="2574" max="2575" width="11.21875" style="4" bestFit="1" customWidth="1"/>
    <col min="2576" max="2816" width="8.88671875" style="4"/>
    <col min="2817" max="2817" width="38.44140625" style="4" customWidth="1"/>
    <col min="2818" max="2818" width="15.44140625" style="4" bestFit="1" customWidth="1"/>
    <col min="2819" max="2819" width="7.77734375" style="4" customWidth="1"/>
    <col min="2820" max="2820" width="19.77734375" style="4" customWidth="1"/>
    <col min="2821" max="2821" width="4.44140625" style="4" customWidth="1"/>
    <col min="2822" max="2822" width="27.21875" style="4" customWidth="1"/>
    <col min="2823" max="2823" width="15.6640625" style="4" customWidth="1"/>
    <col min="2824" max="2824" width="19.77734375" style="4" customWidth="1"/>
    <col min="2825" max="2825" width="8.88671875" style="4"/>
    <col min="2826" max="2826" width="13.77734375" style="4" customWidth="1"/>
    <col min="2827" max="2827" width="11.77734375" style="4" bestFit="1" customWidth="1"/>
    <col min="2828" max="2828" width="12.77734375" style="4" bestFit="1" customWidth="1"/>
    <col min="2829" max="2829" width="10.44140625" style="4" bestFit="1" customWidth="1"/>
    <col min="2830" max="2831" width="11.21875" style="4" bestFit="1" customWidth="1"/>
    <col min="2832" max="3072" width="8.88671875" style="4"/>
    <col min="3073" max="3073" width="38.44140625" style="4" customWidth="1"/>
    <col min="3074" max="3074" width="15.44140625" style="4" bestFit="1" customWidth="1"/>
    <col min="3075" max="3075" width="7.77734375" style="4" customWidth="1"/>
    <col min="3076" max="3076" width="19.77734375" style="4" customWidth="1"/>
    <col min="3077" max="3077" width="4.44140625" style="4" customWidth="1"/>
    <col min="3078" max="3078" width="27.21875" style="4" customWidth="1"/>
    <col min="3079" max="3079" width="15.6640625" style="4" customWidth="1"/>
    <col min="3080" max="3080" width="19.77734375" style="4" customWidth="1"/>
    <col min="3081" max="3081" width="8.88671875" style="4"/>
    <col min="3082" max="3082" width="13.77734375" style="4" customWidth="1"/>
    <col min="3083" max="3083" width="11.77734375" style="4" bestFit="1" customWidth="1"/>
    <col min="3084" max="3084" width="12.77734375" style="4" bestFit="1" customWidth="1"/>
    <col min="3085" max="3085" width="10.44140625" style="4" bestFit="1" customWidth="1"/>
    <col min="3086" max="3087" width="11.21875" style="4" bestFit="1" customWidth="1"/>
    <col min="3088" max="3328" width="8.88671875" style="4"/>
    <col min="3329" max="3329" width="38.44140625" style="4" customWidth="1"/>
    <col min="3330" max="3330" width="15.44140625" style="4" bestFit="1" customWidth="1"/>
    <col min="3331" max="3331" width="7.77734375" style="4" customWidth="1"/>
    <col min="3332" max="3332" width="19.77734375" style="4" customWidth="1"/>
    <col min="3333" max="3333" width="4.44140625" style="4" customWidth="1"/>
    <col min="3334" max="3334" width="27.21875" style="4" customWidth="1"/>
    <col min="3335" max="3335" width="15.6640625" style="4" customWidth="1"/>
    <col min="3336" max="3336" width="19.77734375" style="4" customWidth="1"/>
    <col min="3337" max="3337" width="8.88671875" style="4"/>
    <col min="3338" max="3338" width="13.77734375" style="4" customWidth="1"/>
    <col min="3339" max="3339" width="11.77734375" style="4" bestFit="1" customWidth="1"/>
    <col min="3340" max="3340" width="12.77734375" style="4" bestFit="1" customWidth="1"/>
    <col min="3341" max="3341" width="10.44140625" style="4" bestFit="1" customWidth="1"/>
    <col min="3342" max="3343" width="11.21875" style="4" bestFit="1" customWidth="1"/>
    <col min="3344" max="3584" width="8.88671875" style="4"/>
    <col min="3585" max="3585" width="38.44140625" style="4" customWidth="1"/>
    <col min="3586" max="3586" width="15.44140625" style="4" bestFit="1" customWidth="1"/>
    <col min="3587" max="3587" width="7.77734375" style="4" customWidth="1"/>
    <col min="3588" max="3588" width="19.77734375" style="4" customWidth="1"/>
    <col min="3589" max="3589" width="4.44140625" style="4" customWidth="1"/>
    <col min="3590" max="3590" width="27.21875" style="4" customWidth="1"/>
    <col min="3591" max="3591" width="15.6640625" style="4" customWidth="1"/>
    <col min="3592" max="3592" width="19.77734375" style="4" customWidth="1"/>
    <col min="3593" max="3593" width="8.88671875" style="4"/>
    <col min="3594" max="3594" width="13.77734375" style="4" customWidth="1"/>
    <col min="3595" max="3595" width="11.77734375" style="4" bestFit="1" customWidth="1"/>
    <col min="3596" max="3596" width="12.77734375" style="4" bestFit="1" customWidth="1"/>
    <col min="3597" max="3597" width="10.44140625" style="4" bestFit="1" customWidth="1"/>
    <col min="3598" max="3599" width="11.21875" style="4" bestFit="1" customWidth="1"/>
    <col min="3600" max="3840" width="8.88671875" style="4"/>
    <col min="3841" max="3841" width="38.44140625" style="4" customWidth="1"/>
    <col min="3842" max="3842" width="15.44140625" style="4" bestFit="1" customWidth="1"/>
    <col min="3843" max="3843" width="7.77734375" style="4" customWidth="1"/>
    <col min="3844" max="3844" width="19.77734375" style="4" customWidth="1"/>
    <col min="3845" max="3845" width="4.44140625" style="4" customWidth="1"/>
    <col min="3846" max="3846" width="27.21875" style="4" customWidth="1"/>
    <col min="3847" max="3847" width="15.6640625" style="4" customWidth="1"/>
    <col min="3848" max="3848" width="19.77734375" style="4" customWidth="1"/>
    <col min="3849" max="3849" width="8.88671875" style="4"/>
    <col min="3850" max="3850" width="13.77734375" style="4" customWidth="1"/>
    <col min="3851" max="3851" width="11.77734375" style="4" bestFit="1" customWidth="1"/>
    <col min="3852" max="3852" width="12.77734375" style="4" bestFit="1" customWidth="1"/>
    <col min="3853" max="3853" width="10.44140625" style="4" bestFit="1" customWidth="1"/>
    <col min="3854" max="3855" width="11.21875" style="4" bestFit="1" customWidth="1"/>
    <col min="3856" max="4096" width="8.88671875" style="4"/>
    <col min="4097" max="4097" width="38.44140625" style="4" customWidth="1"/>
    <col min="4098" max="4098" width="15.44140625" style="4" bestFit="1" customWidth="1"/>
    <col min="4099" max="4099" width="7.77734375" style="4" customWidth="1"/>
    <col min="4100" max="4100" width="19.77734375" style="4" customWidth="1"/>
    <col min="4101" max="4101" width="4.44140625" style="4" customWidth="1"/>
    <col min="4102" max="4102" width="27.21875" style="4" customWidth="1"/>
    <col min="4103" max="4103" width="15.6640625" style="4" customWidth="1"/>
    <col min="4104" max="4104" width="19.77734375" style="4" customWidth="1"/>
    <col min="4105" max="4105" width="8.88671875" style="4"/>
    <col min="4106" max="4106" width="13.77734375" style="4" customWidth="1"/>
    <col min="4107" max="4107" width="11.77734375" style="4" bestFit="1" customWidth="1"/>
    <col min="4108" max="4108" width="12.77734375" style="4" bestFit="1" customWidth="1"/>
    <col min="4109" max="4109" width="10.44140625" style="4" bestFit="1" customWidth="1"/>
    <col min="4110" max="4111" width="11.21875" style="4" bestFit="1" customWidth="1"/>
    <col min="4112" max="4352" width="8.88671875" style="4"/>
    <col min="4353" max="4353" width="38.44140625" style="4" customWidth="1"/>
    <col min="4354" max="4354" width="15.44140625" style="4" bestFit="1" customWidth="1"/>
    <col min="4355" max="4355" width="7.77734375" style="4" customWidth="1"/>
    <col min="4356" max="4356" width="19.77734375" style="4" customWidth="1"/>
    <col min="4357" max="4357" width="4.44140625" style="4" customWidth="1"/>
    <col min="4358" max="4358" width="27.21875" style="4" customWidth="1"/>
    <col min="4359" max="4359" width="15.6640625" style="4" customWidth="1"/>
    <col min="4360" max="4360" width="19.77734375" style="4" customWidth="1"/>
    <col min="4361" max="4361" width="8.88671875" style="4"/>
    <col min="4362" max="4362" width="13.77734375" style="4" customWidth="1"/>
    <col min="4363" max="4363" width="11.77734375" style="4" bestFit="1" customWidth="1"/>
    <col min="4364" max="4364" width="12.77734375" style="4" bestFit="1" customWidth="1"/>
    <col min="4365" max="4365" width="10.44140625" style="4" bestFit="1" customWidth="1"/>
    <col min="4366" max="4367" width="11.21875" style="4" bestFit="1" customWidth="1"/>
    <col min="4368" max="4608" width="8.88671875" style="4"/>
    <col min="4609" max="4609" width="38.44140625" style="4" customWidth="1"/>
    <col min="4610" max="4610" width="15.44140625" style="4" bestFit="1" customWidth="1"/>
    <col min="4611" max="4611" width="7.77734375" style="4" customWidth="1"/>
    <col min="4612" max="4612" width="19.77734375" style="4" customWidth="1"/>
    <col min="4613" max="4613" width="4.44140625" style="4" customWidth="1"/>
    <col min="4614" max="4614" width="27.21875" style="4" customWidth="1"/>
    <col min="4615" max="4615" width="15.6640625" style="4" customWidth="1"/>
    <col min="4616" max="4616" width="19.77734375" style="4" customWidth="1"/>
    <col min="4617" max="4617" width="8.88671875" style="4"/>
    <col min="4618" max="4618" width="13.77734375" style="4" customWidth="1"/>
    <col min="4619" max="4619" width="11.77734375" style="4" bestFit="1" customWidth="1"/>
    <col min="4620" max="4620" width="12.77734375" style="4" bestFit="1" customWidth="1"/>
    <col min="4621" max="4621" width="10.44140625" style="4" bestFit="1" customWidth="1"/>
    <col min="4622" max="4623" width="11.21875" style="4" bestFit="1" customWidth="1"/>
    <col min="4624" max="4864" width="8.88671875" style="4"/>
    <col min="4865" max="4865" width="38.44140625" style="4" customWidth="1"/>
    <col min="4866" max="4866" width="15.44140625" style="4" bestFit="1" customWidth="1"/>
    <col min="4867" max="4867" width="7.77734375" style="4" customWidth="1"/>
    <col min="4868" max="4868" width="19.77734375" style="4" customWidth="1"/>
    <col min="4869" max="4869" width="4.44140625" style="4" customWidth="1"/>
    <col min="4870" max="4870" width="27.21875" style="4" customWidth="1"/>
    <col min="4871" max="4871" width="15.6640625" style="4" customWidth="1"/>
    <col min="4872" max="4872" width="19.77734375" style="4" customWidth="1"/>
    <col min="4873" max="4873" width="8.88671875" style="4"/>
    <col min="4874" max="4874" width="13.77734375" style="4" customWidth="1"/>
    <col min="4875" max="4875" width="11.77734375" style="4" bestFit="1" customWidth="1"/>
    <col min="4876" max="4876" width="12.77734375" style="4" bestFit="1" customWidth="1"/>
    <col min="4877" max="4877" width="10.44140625" style="4" bestFit="1" customWidth="1"/>
    <col min="4878" max="4879" width="11.21875" style="4" bestFit="1" customWidth="1"/>
    <col min="4880" max="5120" width="8.88671875" style="4"/>
    <col min="5121" max="5121" width="38.44140625" style="4" customWidth="1"/>
    <col min="5122" max="5122" width="15.44140625" style="4" bestFit="1" customWidth="1"/>
    <col min="5123" max="5123" width="7.77734375" style="4" customWidth="1"/>
    <col min="5124" max="5124" width="19.77734375" style="4" customWidth="1"/>
    <col min="5125" max="5125" width="4.44140625" style="4" customWidth="1"/>
    <col min="5126" max="5126" width="27.21875" style="4" customWidth="1"/>
    <col min="5127" max="5127" width="15.6640625" style="4" customWidth="1"/>
    <col min="5128" max="5128" width="19.77734375" style="4" customWidth="1"/>
    <col min="5129" max="5129" width="8.88671875" style="4"/>
    <col min="5130" max="5130" width="13.77734375" style="4" customWidth="1"/>
    <col min="5131" max="5131" width="11.77734375" style="4" bestFit="1" customWidth="1"/>
    <col min="5132" max="5132" width="12.77734375" style="4" bestFit="1" customWidth="1"/>
    <col min="5133" max="5133" width="10.44140625" style="4" bestFit="1" customWidth="1"/>
    <col min="5134" max="5135" width="11.21875" style="4" bestFit="1" customWidth="1"/>
    <col min="5136" max="5376" width="8.88671875" style="4"/>
    <col min="5377" max="5377" width="38.44140625" style="4" customWidth="1"/>
    <col min="5378" max="5378" width="15.44140625" style="4" bestFit="1" customWidth="1"/>
    <col min="5379" max="5379" width="7.77734375" style="4" customWidth="1"/>
    <col min="5380" max="5380" width="19.77734375" style="4" customWidth="1"/>
    <col min="5381" max="5381" width="4.44140625" style="4" customWidth="1"/>
    <col min="5382" max="5382" width="27.21875" style="4" customWidth="1"/>
    <col min="5383" max="5383" width="15.6640625" style="4" customWidth="1"/>
    <col min="5384" max="5384" width="19.77734375" style="4" customWidth="1"/>
    <col min="5385" max="5385" width="8.88671875" style="4"/>
    <col min="5386" max="5386" width="13.77734375" style="4" customWidth="1"/>
    <col min="5387" max="5387" width="11.77734375" style="4" bestFit="1" customWidth="1"/>
    <col min="5388" max="5388" width="12.77734375" style="4" bestFit="1" customWidth="1"/>
    <col min="5389" max="5389" width="10.44140625" style="4" bestFit="1" customWidth="1"/>
    <col min="5390" max="5391" width="11.21875" style="4" bestFit="1" customWidth="1"/>
    <col min="5392" max="5632" width="8.88671875" style="4"/>
    <col min="5633" max="5633" width="38.44140625" style="4" customWidth="1"/>
    <col min="5634" max="5634" width="15.44140625" style="4" bestFit="1" customWidth="1"/>
    <col min="5635" max="5635" width="7.77734375" style="4" customWidth="1"/>
    <col min="5636" max="5636" width="19.77734375" style="4" customWidth="1"/>
    <col min="5637" max="5637" width="4.44140625" style="4" customWidth="1"/>
    <col min="5638" max="5638" width="27.21875" style="4" customWidth="1"/>
    <col min="5639" max="5639" width="15.6640625" style="4" customWidth="1"/>
    <col min="5640" max="5640" width="19.77734375" style="4" customWidth="1"/>
    <col min="5641" max="5641" width="8.88671875" style="4"/>
    <col min="5642" max="5642" width="13.77734375" style="4" customWidth="1"/>
    <col min="5643" max="5643" width="11.77734375" style="4" bestFit="1" customWidth="1"/>
    <col min="5644" max="5644" width="12.77734375" style="4" bestFit="1" customWidth="1"/>
    <col min="5645" max="5645" width="10.44140625" style="4" bestFit="1" customWidth="1"/>
    <col min="5646" max="5647" width="11.21875" style="4" bestFit="1" customWidth="1"/>
    <col min="5648" max="5888" width="8.88671875" style="4"/>
    <col min="5889" max="5889" width="38.44140625" style="4" customWidth="1"/>
    <col min="5890" max="5890" width="15.44140625" style="4" bestFit="1" customWidth="1"/>
    <col min="5891" max="5891" width="7.77734375" style="4" customWidth="1"/>
    <col min="5892" max="5892" width="19.77734375" style="4" customWidth="1"/>
    <col min="5893" max="5893" width="4.44140625" style="4" customWidth="1"/>
    <col min="5894" max="5894" width="27.21875" style="4" customWidth="1"/>
    <col min="5895" max="5895" width="15.6640625" style="4" customWidth="1"/>
    <col min="5896" max="5896" width="19.77734375" style="4" customWidth="1"/>
    <col min="5897" max="5897" width="8.88671875" style="4"/>
    <col min="5898" max="5898" width="13.77734375" style="4" customWidth="1"/>
    <col min="5899" max="5899" width="11.77734375" style="4" bestFit="1" customWidth="1"/>
    <col min="5900" max="5900" width="12.77734375" style="4" bestFit="1" customWidth="1"/>
    <col min="5901" max="5901" width="10.44140625" style="4" bestFit="1" customWidth="1"/>
    <col min="5902" max="5903" width="11.21875" style="4" bestFit="1" customWidth="1"/>
    <col min="5904" max="6144" width="8.88671875" style="4"/>
    <col min="6145" max="6145" width="38.44140625" style="4" customWidth="1"/>
    <col min="6146" max="6146" width="15.44140625" style="4" bestFit="1" customWidth="1"/>
    <col min="6147" max="6147" width="7.77734375" style="4" customWidth="1"/>
    <col min="6148" max="6148" width="19.77734375" style="4" customWidth="1"/>
    <col min="6149" max="6149" width="4.44140625" style="4" customWidth="1"/>
    <col min="6150" max="6150" width="27.21875" style="4" customWidth="1"/>
    <col min="6151" max="6151" width="15.6640625" style="4" customWidth="1"/>
    <col min="6152" max="6152" width="19.77734375" style="4" customWidth="1"/>
    <col min="6153" max="6153" width="8.88671875" style="4"/>
    <col min="6154" max="6154" width="13.77734375" style="4" customWidth="1"/>
    <col min="6155" max="6155" width="11.77734375" style="4" bestFit="1" customWidth="1"/>
    <col min="6156" max="6156" width="12.77734375" style="4" bestFit="1" customWidth="1"/>
    <col min="6157" max="6157" width="10.44140625" style="4" bestFit="1" customWidth="1"/>
    <col min="6158" max="6159" width="11.21875" style="4" bestFit="1" customWidth="1"/>
    <col min="6160" max="6400" width="8.88671875" style="4"/>
    <col min="6401" max="6401" width="38.44140625" style="4" customWidth="1"/>
    <col min="6402" max="6402" width="15.44140625" style="4" bestFit="1" customWidth="1"/>
    <col min="6403" max="6403" width="7.77734375" style="4" customWidth="1"/>
    <col min="6404" max="6404" width="19.77734375" style="4" customWidth="1"/>
    <col min="6405" max="6405" width="4.44140625" style="4" customWidth="1"/>
    <col min="6406" max="6406" width="27.21875" style="4" customWidth="1"/>
    <col min="6407" max="6407" width="15.6640625" style="4" customWidth="1"/>
    <col min="6408" max="6408" width="19.77734375" style="4" customWidth="1"/>
    <col min="6409" max="6409" width="8.88671875" style="4"/>
    <col min="6410" max="6410" width="13.77734375" style="4" customWidth="1"/>
    <col min="6411" max="6411" width="11.77734375" style="4" bestFit="1" customWidth="1"/>
    <col min="6412" max="6412" width="12.77734375" style="4" bestFit="1" customWidth="1"/>
    <col min="6413" max="6413" width="10.44140625" style="4" bestFit="1" customWidth="1"/>
    <col min="6414" max="6415" width="11.21875" style="4" bestFit="1" customWidth="1"/>
    <col min="6416" max="6656" width="8.88671875" style="4"/>
    <col min="6657" max="6657" width="38.44140625" style="4" customWidth="1"/>
    <col min="6658" max="6658" width="15.44140625" style="4" bestFit="1" customWidth="1"/>
    <col min="6659" max="6659" width="7.77734375" style="4" customWidth="1"/>
    <col min="6660" max="6660" width="19.77734375" style="4" customWidth="1"/>
    <col min="6661" max="6661" width="4.44140625" style="4" customWidth="1"/>
    <col min="6662" max="6662" width="27.21875" style="4" customWidth="1"/>
    <col min="6663" max="6663" width="15.6640625" style="4" customWidth="1"/>
    <col min="6664" max="6664" width="19.77734375" style="4" customWidth="1"/>
    <col min="6665" max="6665" width="8.88671875" style="4"/>
    <col min="6666" max="6666" width="13.77734375" style="4" customWidth="1"/>
    <col min="6667" max="6667" width="11.77734375" style="4" bestFit="1" customWidth="1"/>
    <col min="6668" max="6668" width="12.77734375" style="4" bestFit="1" customWidth="1"/>
    <col min="6669" max="6669" width="10.44140625" style="4" bestFit="1" customWidth="1"/>
    <col min="6670" max="6671" width="11.21875" style="4" bestFit="1" customWidth="1"/>
    <col min="6672" max="6912" width="8.88671875" style="4"/>
    <col min="6913" max="6913" width="38.44140625" style="4" customWidth="1"/>
    <col min="6914" max="6914" width="15.44140625" style="4" bestFit="1" customWidth="1"/>
    <col min="6915" max="6915" width="7.77734375" style="4" customWidth="1"/>
    <col min="6916" max="6916" width="19.77734375" style="4" customWidth="1"/>
    <col min="6917" max="6917" width="4.44140625" style="4" customWidth="1"/>
    <col min="6918" max="6918" width="27.21875" style="4" customWidth="1"/>
    <col min="6919" max="6919" width="15.6640625" style="4" customWidth="1"/>
    <col min="6920" max="6920" width="19.77734375" style="4" customWidth="1"/>
    <col min="6921" max="6921" width="8.88671875" style="4"/>
    <col min="6922" max="6922" width="13.77734375" style="4" customWidth="1"/>
    <col min="6923" max="6923" width="11.77734375" style="4" bestFit="1" customWidth="1"/>
    <col min="6924" max="6924" width="12.77734375" style="4" bestFit="1" customWidth="1"/>
    <col min="6925" max="6925" width="10.44140625" style="4" bestFit="1" customWidth="1"/>
    <col min="6926" max="6927" width="11.21875" style="4" bestFit="1" customWidth="1"/>
    <col min="6928" max="7168" width="8.88671875" style="4"/>
    <col min="7169" max="7169" width="38.44140625" style="4" customWidth="1"/>
    <col min="7170" max="7170" width="15.44140625" style="4" bestFit="1" customWidth="1"/>
    <col min="7171" max="7171" width="7.77734375" style="4" customWidth="1"/>
    <col min="7172" max="7172" width="19.77734375" style="4" customWidth="1"/>
    <col min="7173" max="7173" width="4.44140625" style="4" customWidth="1"/>
    <col min="7174" max="7174" width="27.21875" style="4" customWidth="1"/>
    <col min="7175" max="7175" width="15.6640625" style="4" customWidth="1"/>
    <col min="7176" max="7176" width="19.77734375" style="4" customWidth="1"/>
    <col min="7177" max="7177" width="8.88671875" style="4"/>
    <col min="7178" max="7178" width="13.77734375" style="4" customWidth="1"/>
    <col min="7179" max="7179" width="11.77734375" style="4" bestFit="1" customWidth="1"/>
    <col min="7180" max="7180" width="12.77734375" style="4" bestFit="1" customWidth="1"/>
    <col min="7181" max="7181" width="10.44140625" style="4" bestFit="1" customWidth="1"/>
    <col min="7182" max="7183" width="11.21875" style="4" bestFit="1" customWidth="1"/>
    <col min="7184" max="7424" width="8.88671875" style="4"/>
    <col min="7425" max="7425" width="38.44140625" style="4" customWidth="1"/>
    <col min="7426" max="7426" width="15.44140625" style="4" bestFit="1" customWidth="1"/>
    <col min="7427" max="7427" width="7.77734375" style="4" customWidth="1"/>
    <col min="7428" max="7428" width="19.77734375" style="4" customWidth="1"/>
    <col min="7429" max="7429" width="4.44140625" style="4" customWidth="1"/>
    <col min="7430" max="7430" width="27.21875" style="4" customWidth="1"/>
    <col min="7431" max="7431" width="15.6640625" style="4" customWidth="1"/>
    <col min="7432" max="7432" width="19.77734375" style="4" customWidth="1"/>
    <col min="7433" max="7433" width="8.88671875" style="4"/>
    <col min="7434" max="7434" width="13.77734375" style="4" customWidth="1"/>
    <col min="7435" max="7435" width="11.77734375" style="4" bestFit="1" customWidth="1"/>
    <col min="7436" max="7436" width="12.77734375" style="4" bestFit="1" customWidth="1"/>
    <col min="7437" max="7437" width="10.44140625" style="4" bestFit="1" customWidth="1"/>
    <col min="7438" max="7439" width="11.21875" style="4" bestFit="1" customWidth="1"/>
    <col min="7440" max="7680" width="8.88671875" style="4"/>
    <col min="7681" max="7681" width="38.44140625" style="4" customWidth="1"/>
    <col min="7682" max="7682" width="15.44140625" style="4" bestFit="1" customWidth="1"/>
    <col min="7683" max="7683" width="7.77734375" style="4" customWidth="1"/>
    <col min="7684" max="7684" width="19.77734375" style="4" customWidth="1"/>
    <col min="7685" max="7685" width="4.44140625" style="4" customWidth="1"/>
    <col min="7686" max="7686" width="27.21875" style="4" customWidth="1"/>
    <col min="7687" max="7687" width="15.6640625" style="4" customWidth="1"/>
    <col min="7688" max="7688" width="19.77734375" style="4" customWidth="1"/>
    <col min="7689" max="7689" width="8.88671875" style="4"/>
    <col min="7690" max="7690" width="13.77734375" style="4" customWidth="1"/>
    <col min="7691" max="7691" width="11.77734375" style="4" bestFit="1" customWidth="1"/>
    <col min="7692" max="7692" width="12.77734375" style="4" bestFit="1" customWidth="1"/>
    <col min="7693" max="7693" width="10.44140625" style="4" bestFit="1" customWidth="1"/>
    <col min="7694" max="7695" width="11.21875" style="4" bestFit="1" customWidth="1"/>
    <col min="7696" max="7936" width="8.88671875" style="4"/>
    <col min="7937" max="7937" width="38.44140625" style="4" customWidth="1"/>
    <col min="7938" max="7938" width="15.44140625" style="4" bestFit="1" customWidth="1"/>
    <col min="7939" max="7939" width="7.77734375" style="4" customWidth="1"/>
    <col min="7940" max="7940" width="19.77734375" style="4" customWidth="1"/>
    <col min="7941" max="7941" width="4.44140625" style="4" customWidth="1"/>
    <col min="7942" max="7942" width="27.21875" style="4" customWidth="1"/>
    <col min="7943" max="7943" width="15.6640625" style="4" customWidth="1"/>
    <col min="7944" max="7944" width="19.77734375" style="4" customWidth="1"/>
    <col min="7945" max="7945" width="8.88671875" style="4"/>
    <col min="7946" max="7946" width="13.77734375" style="4" customWidth="1"/>
    <col min="7947" max="7947" width="11.77734375" style="4" bestFit="1" customWidth="1"/>
    <col min="7948" max="7948" width="12.77734375" style="4" bestFit="1" customWidth="1"/>
    <col min="7949" max="7949" width="10.44140625" style="4" bestFit="1" customWidth="1"/>
    <col min="7950" max="7951" width="11.21875" style="4" bestFit="1" customWidth="1"/>
    <col min="7952" max="8192" width="8.88671875" style="4"/>
    <col min="8193" max="8193" width="38.44140625" style="4" customWidth="1"/>
    <col min="8194" max="8194" width="15.44140625" style="4" bestFit="1" customWidth="1"/>
    <col min="8195" max="8195" width="7.77734375" style="4" customWidth="1"/>
    <col min="8196" max="8196" width="19.77734375" style="4" customWidth="1"/>
    <col min="8197" max="8197" width="4.44140625" style="4" customWidth="1"/>
    <col min="8198" max="8198" width="27.21875" style="4" customWidth="1"/>
    <col min="8199" max="8199" width="15.6640625" style="4" customWidth="1"/>
    <col min="8200" max="8200" width="19.77734375" style="4" customWidth="1"/>
    <col min="8201" max="8201" width="8.88671875" style="4"/>
    <col min="8202" max="8202" width="13.77734375" style="4" customWidth="1"/>
    <col min="8203" max="8203" width="11.77734375" style="4" bestFit="1" customWidth="1"/>
    <col min="8204" max="8204" width="12.77734375" style="4" bestFit="1" customWidth="1"/>
    <col min="8205" max="8205" width="10.44140625" style="4" bestFit="1" customWidth="1"/>
    <col min="8206" max="8207" width="11.21875" style="4" bestFit="1" customWidth="1"/>
    <col min="8208" max="8448" width="8.88671875" style="4"/>
    <col min="8449" max="8449" width="38.44140625" style="4" customWidth="1"/>
    <col min="8450" max="8450" width="15.44140625" style="4" bestFit="1" customWidth="1"/>
    <col min="8451" max="8451" width="7.77734375" style="4" customWidth="1"/>
    <col min="8452" max="8452" width="19.77734375" style="4" customWidth="1"/>
    <col min="8453" max="8453" width="4.44140625" style="4" customWidth="1"/>
    <col min="8454" max="8454" width="27.21875" style="4" customWidth="1"/>
    <col min="8455" max="8455" width="15.6640625" style="4" customWidth="1"/>
    <col min="8456" max="8456" width="19.77734375" style="4" customWidth="1"/>
    <col min="8457" max="8457" width="8.88671875" style="4"/>
    <col min="8458" max="8458" width="13.77734375" style="4" customWidth="1"/>
    <col min="8459" max="8459" width="11.77734375" style="4" bestFit="1" customWidth="1"/>
    <col min="8460" max="8460" width="12.77734375" style="4" bestFit="1" customWidth="1"/>
    <col min="8461" max="8461" width="10.44140625" style="4" bestFit="1" customWidth="1"/>
    <col min="8462" max="8463" width="11.21875" style="4" bestFit="1" customWidth="1"/>
    <col min="8464" max="8704" width="8.88671875" style="4"/>
    <col min="8705" max="8705" width="38.44140625" style="4" customWidth="1"/>
    <col min="8706" max="8706" width="15.44140625" style="4" bestFit="1" customWidth="1"/>
    <col min="8707" max="8707" width="7.77734375" style="4" customWidth="1"/>
    <col min="8708" max="8708" width="19.77734375" style="4" customWidth="1"/>
    <col min="8709" max="8709" width="4.44140625" style="4" customWidth="1"/>
    <col min="8710" max="8710" width="27.21875" style="4" customWidth="1"/>
    <col min="8711" max="8711" width="15.6640625" style="4" customWidth="1"/>
    <col min="8712" max="8712" width="19.77734375" style="4" customWidth="1"/>
    <col min="8713" max="8713" width="8.88671875" style="4"/>
    <col min="8714" max="8714" width="13.77734375" style="4" customWidth="1"/>
    <col min="8715" max="8715" width="11.77734375" style="4" bestFit="1" customWidth="1"/>
    <col min="8716" max="8716" width="12.77734375" style="4" bestFit="1" customWidth="1"/>
    <col min="8717" max="8717" width="10.44140625" style="4" bestFit="1" customWidth="1"/>
    <col min="8718" max="8719" width="11.21875" style="4" bestFit="1" customWidth="1"/>
    <col min="8720" max="8960" width="8.88671875" style="4"/>
    <col min="8961" max="8961" width="38.44140625" style="4" customWidth="1"/>
    <col min="8962" max="8962" width="15.44140625" style="4" bestFit="1" customWidth="1"/>
    <col min="8963" max="8963" width="7.77734375" style="4" customWidth="1"/>
    <col min="8964" max="8964" width="19.77734375" style="4" customWidth="1"/>
    <col min="8965" max="8965" width="4.44140625" style="4" customWidth="1"/>
    <col min="8966" max="8966" width="27.21875" style="4" customWidth="1"/>
    <col min="8967" max="8967" width="15.6640625" style="4" customWidth="1"/>
    <col min="8968" max="8968" width="19.77734375" style="4" customWidth="1"/>
    <col min="8969" max="8969" width="8.88671875" style="4"/>
    <col min="8970" max="8970" width="13.77734375" style="4" customWidth="1"/>
    <col min="8971" max="8971" width="11.77734375" style="4" bestFit="1" customWidth="1"/>
    <col min="8972" max="8972" width="12.77734375" style="4" bestFit="1" customWidth="1"/>
    <col min="8973" max="8973" width="10.44140625" style="4" bestFit="1" customWidth="1"/>
    <col min="8974" max="8975" width="11.21875" style="4" bestFit="1" customWidth="1"/>
    <col min="8976" max="9216" width="8.88671875" style="4"/>
    <col min="9217" max="9217" width="38.44140625" style="4" customWidth="1"/>
    <col min="9218" max="9218" width="15.44140625" style="4" bestFit="1" customWidth="1"/>
    <col min="9219" max="9219" width="7.77734375" style="4" customWidth="1"/>
    <col min="9220" max="9220" width="19.77734375" style="4" customWidth="1"/>
    <col min="9221" max="9221" width="4.44140625" style="4" customWidth="1"/>
    <col min="9222" max="9222" width="27.21875" style="4" customWidth="1"/>
    <col min="9223" max="9223" width="15.6640625" style="4" customWidth="1"/>
    <col min="9224" max="9224" width="19.77734375" style="4" customWidth="1"/>
    <col min="9225" max="9225" width="8.88671875" style="4"/>
    <col min="9226" max="9226" width="13.77734375" style="4" customWidth="1"/>
    <col min="9227" max="9227" width="11.77734375" style="4" bestFit="1" customWidth="1"/>
    <col min="9228" max="9228" width="12.77734375" style="4" bestFit="1" customWidth="1"/>
    <col min="9229" max="9229" width="10.44140625" style="4" bestFit="1" customWidth="1"/>
    <col min="9230" max="9231" width="11.21875" style="4" bestFit="1" customWidth="1"/>
    <col min="9232" max="9472" width="8.88671875" style="4"/>
    <col min="9473" max="9473" width="38.44140625" style="4" customWidth="1"/>
    <col min="9474" max="9474" width="15.44140625" style="4" bestFit="1" customWidth="1"/>
    <col min="9475" max="9475" width="7.77734375" style="4" customWidth="1"/>
    <col min="9476" max="9476" width="19.77734375" style="4" customWidth="1"/>
    <col min="9477" max="9477" width="4.44140625" style="4" customWidth="1"/>
    <col min="9478" max="9478" width="27.21875" style="4" customWidth="1"/>
    <col min="9479" max="9479" width="15.6640625" style="4" customWidth="1"/>
    <col min="9480" max="9480" width="19.77734375" style="4" customWidth="1"/>
    <col min="9481" max="9481" width="8.88671875" style="4"/>
    <col min="9482" max="9482" width="13.77734375" style="4" customWidth="1"/>
    <col min="9483" max="9483" width="11.77734375" style="4" bestFit="1" customWidth="1"/>
    <col min="9484" max="9484" width="12.77734375" style="4" bestFit="1" customWidth="1"/>
    <col min="9485" max="9485" width="10.44140625" style="4" bestFit="1" customWidth="1"/>
    <col min="9486" max="9487" width="11.21875" style="4" bestFit="1" customWidth="1"/>
    <col min="9488" max="9728" width="8.88671875" style="4"/>
    <col min="9729" max="9729" width="38.44140625" style="4" customWidth="1"/>
    <col min="9730" max="9730" width="15.44140625" style="4" bestFit="1" customWidth="1"/>
    <col min="9731" max="9731" width="7.77734375" style="4" customWidth="1"/>
    <col min="9732" max="9732" width="19.77734375" style="4" customWidth="1"/>
    <col min="9733" max="9733" width="4.44140625" style="4" customWidth="1"/>
    <col min="9734" max="9734" width="27.21875" style="4" customWidth="1"/>
    <col min="9735" max="9735" width="15.6640625" style="4" customWidth="1"/>
    <col min="9736" max="9736" width="19.77734375" style="4" customWidth="1"/>
    <col min="9737" max="9737" width="8.88671875" style="4"/>
    <col min="9738" max="9738" width="13.77734375" style="4" customWidth="1"/>
    <col min="9739" max="9739" width="11.77734375" style="4" bestFit="1" customWidth="1"/>
    <col min="9740" max="9740" width="12.77734375" style="4" bestFit="1" customWidth="1"/>
    <col min="9741" max="9741" width="10.44140625" style="4" bestFit="1" customWidth="1"/>
    <col min="9742" max="9743" width="11.21875" style="4" bestFit="1" customWidth="1"/>
    <col min="9744" max="9984" width="8.88671875" style="4"/>
    <col min="9985" max="9985" width="38.44140625" style="4" customWidth="1"/>
    <col min="9986" max="9986" width="15.44140625" style="4" bestFit="1" customWidth="1"/>
    <col min="9987" max="9987" width="7.77734375" style="4" customWidth="1"/>
    <col min="9988" max="9988" width="19.77734375" style="4" customWidth="1"/>
    <col min="9989" max="9989" width="4.44140625" style="4" customWidth="1"/>
    <col min="9990" max="9990" width="27.21875" style="4" customWidth="1"/>
    <col min="9991" max="9991" width="15.6640625" style="4" customWidth="1"/>
    <col min="9992" max="9992" width="19.77734375" style="4" customWidth="1"/>
    <col min="9993" max="9993" width="8.88671875" style="4"/>
    <col min="9994" max="9994" width="13.77734375" style="4" customWidth="1"/>
    <col min="9995" max="9995" width="11.77734375" style="4" bestFit="1" customWidth="1"/>
    <col min="9996" max="9996" width="12.77734375" style="4" bestFit="1" customWidth="1"/>
    <col min="9997" max="9997" width="10.44140625" style="4" bestFit="1" customWidth="1"/>
    <col min="9998" max="9999" width="11.21875" style="4" bestFit="1" customWidth="1"/>
    <col min="10000" max="10240" width="8.88671875" style="4"/>
    <col min="10241" max="10241" width="38.44140625" style="4" customWidth="1"/>
    <col min="10242" max="10242" width="15.44140625" style="4" bestFit="1" customWidth="1"/>
    <col min="10243" max="10243" width="7.77734375" style="4" customWidth="1"/>
    <col min="10244" max="10244" width="19.77734375" style="4" customWidth="1"/>
    <col min="10245" max="10245" width="4.44140625" style="4" customWidth="1"/>
    <col min="10246" max="10246" width="27.21875" style="4" customWidth="1"/>
    <col min="10247" max="10247" width="15.6640625" style="4" customWidth="1"/>
    <col min="10248" max="10248" width="19.77734375" style="4" customWidth="1"/>
    <col min="10249" max="10249" width="8.88671875" style="4"/>
    <col min="10250" max="10250" width="13.77734375" style="4" customWidth="1"/>
    <col min="10251" max="10251" width="11.77734375" style="4" bestFit="1" customWidth="1"/>
    <col min="10252" max="10252" width="12.77734375" style="4" bestFit="1" customWidth="1"/>
    <col min="10253" max="10253" width="10.44140625" style="4" bestFit="1" customWidth="1"/>
    <col min="10254" max="10255" width="11.21875" style="4" bestFit="1" customWidth="1"/>
    <col min="10256" max="10496" width="8.88671875" style="4"/>
    <col min="10497" max="10497" width="38.44140625" style="4" customWidth="1"/>
    <col min="10498" max="10498" width="15.44140625" style="4" bestFit="1" customWidth="1"/>
    <col min="10499" max="10499" width="7.77734375" style="4" customWidth="1"/>
    <col min="10500" max="10500" width="19.77734375" style="4" customWidth="1"/>
    <col min="10501" max="10501" width="4.44140625" style="4" customWidth="1"/>
    <col min="10502" max="10502" width="27.21875" style="4" customWidth="1"/>
    <col min="10503" max="10503" width="15.6640625" style="4" customWidth="1"/>
    <col min="10504" max="10504" width="19.77734375" style="4" customWidth="1"/>
    <col min="10505" max="10505" width="8.88671875" style="4"/>
    <col min="10506" max="10506" width="13.77734375" style="4" customWidth="1"/>
    <col min="10507" max="10507" width="11.77734375" style="4" bestFit="1" customWidth="1"/>
    <col min="10508" max="10508" width="12.77734375" style="4" bestFit="1" customWidth="1"/>
    <col min="10509" max="10509" width="10.44140625" style="4" bestFit="1" customWidth="1"/>
    <col min="10510" max="10511" width="11.21875" style="4" bestFit="1" customWidth="1"/>
    <col min="10512" max="10752" width="8.88671875" style="4"/>
    <col min="10753" max="10753" width="38.44140625" style="4" customWidth="1"/>
    <col min="10754" max="10754" width="15.44140625" style="4" bestFit="1" customWidth="1"/>
    <col min="10755" max="10755" width="7.77734375" style="4" customWidth="1"/>
    <col min="10756" max="10756" width="19.77734375" style="4" customWidth="1"/>
    <col min="10757" max="10757" width="4.44140625" style="4" customWidth="1"/>
    <col min="10758" max="10758" width="27.21875" style="4" customWidth="1"/>
    <col min="10759" max="10759" width="15.6640625" style="4" customWidth="1"/>
    <col min="10760" max="10760" width="19.77734375" style="4" customWidth="1"/>
    <col min="10761" max="10761" width="8.88671875" style="4"/>
    <col min="10762" max="10762" width="13.77734375" style="4" customWidth="1"/>
    <col min="10763" max="10763" width="11.77734375" style="4" bestFit="1" customWidth="1"/>
    <col min="10764" max="10764" width="12.77734375" style="4" bestFit="1" customWidth="1"/>
    <col min="10765" max="10765" width="10.44140625" style="4" bestFit="1" customWidth="1"/>
    <col min="10766" max="10767" width="11.21875" style="4" bestFit="1" customWidth="1"/>
    <col min="10768" max="11008" width="8.88671875" style="4"/>
    <col min="11009" max="11009" width="38.44140625" style="4" customWidth="1"/>
    <col min="11010" max="11010" width="15.44140625" style="4" bestFit="1" customWidth="1"/>
    <col min="11011" max="11011" width="7.77734375" style="4" customWidth="1"/>
    <col min="11012" max="11012" width="19.77734375" style="4" customWidth="1"/>
    <col min="11013" max="11013" width="4.44140625" style="4" customWidth="1"/>
    <col min="11014" max="11014" width="27.21875" style="4" customWidth="1"/>
    <col min="11015" max="11015" width="15.6640625" style="4" customWidth="1"/>
    <col min="11016" max="11016" width="19.77734375" style="4" customWidth="1"/>
    <col min="11017" max="11017" width="8.88671875" style="4"/>
    <col min="11018" max="11018" width="13.77734375" style="4" customWidth="1"/>
    <col min="11019" max="11019" width="11.77734375" style="4" bestFit="1" customWidth="1"/>
    <col min="11020" max="11020" width="12.77734375" style="4" bestFit="1" customWidth="1"/>
    <col min="11021" max="11021" width="10.44140625" style="4" bestFit="1" customWidth="1"/>
    <col min="11022" max="11023" width="11.21875" style="4" bestFit="1" customWidth="1"/>
    <col min="11024" max="11264" width="8.88671875" style="4"/>
    <col min="11265" max="11265" width="38.44140625" style="4" customWidth="1"/>
    <col min="11266" max="11266" width="15.44140625" style="4" bestFit="1" customWidth="1"/>
    <col min="11267" max="11267" width="7.77734375" style="4" customWidth="1"/>
    <col min="11268" max="11268" width="19.77734375" style="4" customWidth="1"/>
    <col min="11269" max="11269" width="4.44140625" style="4" customWidth="1"/>
    <col min="11270" max="11270" width="27.21875" style="4" customWidth="1"/>
    <col min="11271" max="11271" width="15.6640625" style="4" customWidth="1"/>
    <col min="11272" max="11272" width="19.77734375" style="4" customWidth="1"/>
    <col min="11273" max="11273" width="8.88671875" style="4"/>
    <col min="11274" max="11274" width="13.77734375" style="4" customWidth="1"/>
    <col min="11275" max="11275" width="11.77734375" style="4" bestFit="1" customWidth="1"/>
    <col min="11276" max="11276" width="12.77734375" style="4" bestFit="1" customWidth="1"/>
    <col min="11277" max="11277" width="10.44140625" style="4" bestFit="1" customWidth="1"/>
    <col min="11278" max="11279" width="11.21875" style="4" bestFit="1" customWidth="1"/>
    <col min="11280" max="11520" width="8.88671875" style="4"/>
    <col min="11521" max="11521" width="38.44140625" style="4" customWidth="1"/>
    <col min="11522" max="11522" width="15.44140625" style="4" bestFit="1" customWidth="1"/>
    <col min="11523" max="11523" width="7.77734375" style="4" customWidth="1"/>
    <col min="11524" max="11524" width="19.77734375" style="4" customWidth="1"/>
    <col min="11525" max="11525" width="4.44140625" style="4" customWidth="1"/>
    <col min="11526" max="11526" width="27.21875" style="4" customWidth="1"/>
    <col min="11527" max="11527" width="15.6640625" style="4" customWidth="1"/>
    <col min="11528" max="11528" width="19.77734375" style="4" customWidth="1"/>
    <col min="11529" max="11529" width="8.88671875" style="4"/>
    <col min="11530" max="11530" width="13.77734375" style="4" customWidth="1"/>
    <col min="11531" max="11531" width="11.77734375" style="4" bestFit="1" customWidth="1"/>
    <col min="11532" max="11532" width="12.77734375" style="4" bestFit="1" customWidth="1"/>
    <col min="11533" max="11533" width="10.44140625" style="4" bestFit="1" customWidth="1"/>
    <col min="11534" max="11535" width="11.21875" style="4" bestFit="1" customWidth="1"/>
    <col min="11536" max="11776" width="8.88671875" style="4"/>
    <col min="11777" max="11777" width="38.44140625" style="4" customWidth="1"/>
    <col min="11778" max="11778" width="15.44140625" style="4" bestFit="1" customWidth="1"/>
    <col min="11779" max="11779" width="7.77734375" style="4" customWidth="1"/>
    <col min="11780" max="11780" width="19.77734375" style="4" customWidth="1"/>
    <col min="11781" max="11781" width="4.44140625" style="4" customWidth="1"/>
    <col min="11782" max="11782" width="27.21875" style="4" customWidth="1"/>
    <col min="11783" max="11783" width="15.6640625" style="4" customWidth="1"/>
    <col min="11784" max="11784" width="19.77734375" style="4" customWidth="1"/>
    <col min="11785" max="11785" width="8.88671875" style="4"/>
    <col min="11786" max="11786" width="13.77734375" style="4" customWidth="1"/>
    <col min="11787" max="11787" width="11.77734375" style="4" bestFit="1" customWidth="1"/>
    <col min="11788" max="11788" width="12.77734375" style="4" bestFit="1" customWidth="1"/>
    <col min="11789" max="11789" width="10.44140625" style="4" bestFit="1" customWidth="1"/>
    <col min="11790" max="11791" width="11.21875" style="4" bestFit="1" customWidth="1"/>
    <col min="11792" max="12032" width="8.88671875" style="4"/>
    <col min="12033" max="12033" width="38.44140625" style="4" customWidth="1"/>
    <col min="12034" max="12034" width="15.44140625" style="4" bestFit="1" customWidth="1"/>
    <col min="12035" max="12035" width="7.77734375" style="4" customWidth="1"/>
    <col min="12036" max="12036" width="19.77734375" style="4" customWidth="1"/>
    <col min="12037" max="12037" width="4.44140625" style="4" customWidth="1"/>
    <col min="12038" max="12038" width="27.21875" style="4" customWidth="1"/>
    <col min="12039" max="12039" width="15.6640625" style="4" customWidth="1"/>
    <col min="12040" max="12040" width="19.77734375" style="4" customWidth="1"/>
    <col min="12041" max="12041" width="8.88671875" style="4"/>
    <col min="12042" max="12042" width="13.77734375" style="4" customWidth="1"/>
    <col min="12043" max="12043" width="11.77734375" style="4" bestFit="1" customWidth="1"/>
    <col min="12044" max="12044" width="12.77734375" style="4" bestFit="1" customWidth="1"/>
    <col min="12045" max="12045" width="10.44140625" style="4" bestFit="1" customWidth="1"/>
    <col min="12046" max="12047" width="11.21875" style="4" bestFit="1" customWidth="1"/>
    <col min="12048" max="12288" width="8.88671875" style="4"/>
    <col min="12289" max="12289" width="38.44140625" style="4" customWidth="1"/>
    <col min="12290" max="12290" width="15.44140625" style="4" bestFit="1" customWidth="1"/>
    <col min="12291" max="12291" width="7.77734375" style="4" customWidth="1"/>
    <col min="12292" max="12292" width="19.77734375" style="4" customWidth="1"/>
    <col min="12293" max="12293" width="4.44140625" style="4" customWidth="1"/>
    <col min="12294" max="12294" width="27.21875" style="4" customWidth="1"/>
    <col min="12295" max="12295" width="15.6640625" style="4" customWidth="1"/>
    <col min="12296" max="12296" width="19.77734375" style="4" customWidth="1"/>
    <col min="12297" max="12297" width="8.88671875" style="4"/>
    <col min="12298" max="12298" width="13.77734375" style="4" customWidth="1"/>
    <col min="12299" max="12299" width="11.77734375" style="4" bestFit="1" customWidth="1"/>
    <col min="12300" max="12300" width="12.77734375" style="4" bestFit="1" customWidth="1"/>
    <col min="12301" max="12301" width="10.44140625" style="4" bestFit="1" customWidth="1"/>
    <col min="12302" max="12303" width="11.21875" style="4" bestFit="1" customWidth="1"/>
    <col min="12304" max="12544" width="8.88671875" style="4"/>
    <col min="12545" max="12545" width="38.44140625" style="4" customWidth="1"/>
    <col min="12546" max="12546" width="15.44140625" style="4" bestFit="1" customWidth="1"/>
    <col min="12547" max="12547" width="7.77734375" style="4" customWidth="1"/>
    <col min="12548" max="12548" width="19.77734375" style="4" customWidth="1"/>
    <col min="12549" max="12549" width="4.44140625" style="4" customWidth="1"/>
    <col min="12550" max="12550" width="27.21875" style="4" customWidth="1"/>
    <col min="12551" max="12551" width="15.6640625" style="4" customWidth="1"/>
    <col min="12552" max="12552" width="19.77734375" style="4" customWidth="1"/>
    <col min="12553" max="12553" width="8.88671875" style="4"/>
    <col min="12554" max="12554" width="13.77734375" style="4" customWidth="1"/>
    <col min="12555" max="12555" width="11.77734375" style="4" bestFit="1" customWidth="1"/>
    <col min="12556" max="12556" width="12.77734375" style="4" bestFit="1" customWidth="1"/>
    <col min="12557" max="12557" width="10.44140625" style="4" bestFit="1" customWidth="1"/>
    <col min="12558" max="12559" width="11.21875" style="4" bestFit="1" customWidth="1"/>
    <col min="12560" max="12800" width="8.88671875" style="4"/>
    <col min="12801" max="12801" width="38.44140625" style="4" customWidth="1"/>
    <col min="12802" max="12802" width="15.44140625" style="4" bestFit="1" customWidth="1"/>
    <col min="12803" max="12803" width="7.77734375" style="4" customWidth="1"/>
    <col min="12804" max="12804" width="19.77734375" style="4" customWidth="1"/>
    <col min="12805" max="12805" width="4.44140625" style="4" customWidth="1"/>
    <col min="12806" max="12806" width="27.21875" style="4" customWidth="1"/>
    <col min="12807" max="12807" width="15.6640625" style="4" customWidth="1"/>
    <col min="12808" max="12808" width="19.77734375" style="4" customWidth="1"/>
    <col min="12809" max="12809" width="8.88671875" style="4"/>
    <col min="12810" max="12810" width="13.77734375" style="4" customWidth="1"/>
    <col min="12811" max="12811" width="11.77734375" style="4" bestFit="1" customWidth="1"/>
    <col min="12812" max="12812" width="12.77734375" style="4" bestFit="1" customWidth="1"/>
    <col min="12813" max="12813" width="10.44140625" style="4" bestFit="1" customWidth="1"/>
    <col min="12814" max="12815" width="11.21875" style="4" bestFit="1" customWidth="1"/>
    <col min="12816" max="13056" width="8.88671875" style="4"/>
    <col min="13057" max="13057" width="38.44140625" style="4" customWidth="1"/>
    <col min="13058" max="13058" width="15.44140625" style="4" bestFit="1" customWidth="1"/>
    <col min="13059" max="13059" width="7.77734375" style="4" customWidth="1"/>
    <col min="13060" max="13060" width="19.77734375" style="4" customWidth="1"/>
    <col min="13061" max="13061" width="4.44140625" style="4" customWidth="1"/>
    <col min="13062" max="13062" width="27.21875" style="4" customWidth="1"/>
    <col min="13063" max="13063" width="15.6640625" style="4" customWidth="1"/>
    <col min="13064" max="13064" width="19.77734375" style="4" customWidth="1"/>
    <col min="13065" max="13065" width="8.88671875" style="4"/>
    <col min="13066" max="13066" width="13.77734375" style="4" customWidth="1"/>
    <col min="13067" max="13067" width="11.77734375" style="4" bestFit="1" customWidth="1"/>
    <col min="13068" max="13068" width="12.77734375" style="4" bestFit="1" customWidth="1"/>
    <col min="13069" max="13069" width="10.44140625" style="4" bestFit="1" customWidth="1"/>
    <col min="13070" max="13071" width="11.21875" style="4" bestFit="1" customWidth="1"/>
    <col min="13072" max="13312" width="8.88671875" style="4"/>
    <col min="13313" max="13313" width="38.44140625" style="4" customWidth="1"/>
    <col min="13314" max="13314" width="15.44140625" style="4" bestFit="1" customWidth="1"/>
    <col min="13315" max="13315" width="7.77734375" style="4" customWidth="1"/>
    <col min="13316" max="13316" width="19.77734375" style="4" customWidth="1"/>
    <col min="13317" max="13317" width="4.44140625" style="4" customWidth="1"/>
    <col min="13318" max="13318" width="27.21875" style="4" customWidth="1"/>
    <col min="13319" max="13319" width="15.6640625" style="4" customWidth="1"/>
    <col min="13320" max="13320" width="19.77734375" style="4" customWidth="1"/>
    <col min="13321" max="13321" width="8.88671875" style="4"/>
    <col min="13322" max="13322" width="13.77734375" style="4" customWidth="1"/>
    <col min="13323" max="13323" width="11.77734375" style="4" bestFit="1" customWidth="1"/>
    <col min="13324" max="13324" width="12.77734375" style="4" bestFit="1" customWidth="1"/>
    <col min="13325" max="13325" width="10.44140625" style="4" bestFit="1" customWidth="1"/>
    <col min="13326" max="13327" width="11.21875" style="4" bestFit="1" customWidth="1"/>
    <col min="13328" max="13568" width="8.88671875" style="4"/>
    <col min="13569" max="13569" width="38.44140625" style="4" customWidth="1"/>
    <col min="13570" max="13570" width="15.44140625" style="4" bestFit="1" customWidth="1"/>
    <col min="13571" max="13571" width="7.77734375" style="4" customWidth="1"/>
    <col min="13572" max="13572" width="19.77734375" style="4" customWidth="1"/>
    <col min="13573" max="13573" width="4.44140625" style="4" customWidth="1"/>
    <col min="13574" max="13574" width="27.21875" style="4" customWidth="1"/>
    <col min="13575" max="13575" width="15.6640625" style="4" customWidth="1"/>
    <col min="13576" max="13576" width="19.77734375" style="4" customWidth="1"/>
    <col min="13577" max="13577" width="8.88671875" style="4"/>
    <col min="13578" max="13578" width="13.77734375" style="4" customWidth="1"/>
    <col min="13579" max="13579" width="11.77734375" style="4" bestFit="1" customWidth="1"/>
    <col min="13580" max="13580" width="12.77734375" style="4" bestFit="1" customWidth="1"/>
    <col min="13581" max="13581" width="10.44140625" style="4" bestFit="1" customWidth="1"/>
    <col min="13582" max="13583" width="11.21875" style="4" bestFit="1" customWidth="1"/>
    <col min="13584" max="13824" width="8.88671875" style="4"/>
    <col min="13825" max="13825" width="38.44140625" style="4" customWidth="1"/>
    <col min="13826" max="13826" width="15.44140625" style="4" bestFit="1" customWidth="1"/>
    <col min="13827" max="13827" width="7.77734375" style="4" customWidth="1"/>
    <col min="13828" max="13828" width="19.77734375" style="4" customWidth="1"/>
    <col min="13829" max="13829" width="4.44140625" style="4" customWidth="1"/>
    <col min="13830" max="13830" width="27.21875" style="4" customWidth="1"/>
    <col min="13831" max="13831" width="15.6640625" style="4" customWidth="1"/>
    <col min="13832" max="13832" width="19.77734375" style="4" customWidth="1"/>
    <col min="13833" max="13833" width="8.88671875" style="4"/>
    <col min="13834" max="13834" width="13.77734375" style="4" customWidth="1"/>
    <col min="13835" max="13835" width="11.77734375" style="4" bestFit="1" customWidth="1"/>
    <col min="13836" max="13836" width="12.77734375" style="4" bestFit="1" customWidth="1"/>
    <col min="13837" max="13837" width="10.44140625" style="4" bestFit="1" customWidth="1"/>
    <col min="13838" max="13839" width="11.21875" style="4" bestFit="1" customWidth="1"/>
    <col min="13840" max="14080" width="8.88671875" style="4"/>
    <col min="14081" max="14081" width="38.44140625" style="4" customWidth="1"/>
    <col min="14082" max="14082" width="15.44140625" style="4" bestFit="1" customWidth="1"/>
    <col min="14083" max="14083" width="7.77734375" style="4" customWidth="1"/>
    <col min="14084" max="14084" width="19.77734375" style="4" customWidth="1"/>
    <col min="14085" max="14085" width="4.44140625" style="4" customWidth="1"/>
    <col min="14086" max="14086" width="27.21875" style="4" customWidth="1"/>
    <col min="14087" max="14087" width="15.6640625" style="4" customWidth="1"/>
    <col min="14088" max="14088" width="19.77734375" style="4" customWidth="1"/>
    <col min="14089" max="14089" width="8.88671875" style="4"/>
    <col min="14090" max="14090" width="13.77734375" style="4" customWidth="1"/>
    <col min="14091" max="14091" width="11.77734375" style="4" bestFit="1" customWidth="1"/>
    <col min="14092" max="14092" width="12.77734375" style="4" bestFit="1" customWidth="1"/>
    <col min="14093" max="14093" width="10.44140625" style="4" bestFit="1" customWidth="1"/>
    <col min="14094" max="14095" width="11.21875" style="4" bestFit="1" customWidth="1"/>
    <col min="14096" max="14336" width="8.88671875" style="4"/>
    <col min="14337" max="14337" width="38.44140625" style="4" customWidth="1"/>
    <col min="14338" max="14338" width="15.44140625" style="4" bestFit="1" customWidth="1"/>
    <col min="14339" max="14339" width="7.77734375" style="4" customWidth="1"/>
    <col min="14340" max="14340" width="19.77734375" style="4" customWidth="1"/>
    <col min="14341" max="14341" width="4.44140625" style="4" customWidth="1"/>
    <col min="14342" max="14342" width="27.21875" style="4" customWidth="1"/>
    <col min="14343" max="14343" width="15.6640625" style="4" customWidth="1"/>
    <col min="14344" max="14344" width="19.77734375" style="4" customWidth="1"/>
    <col min="14345" max="14345" width="8.88671875" style="4"/>
    <col min="14346" max="14346" width="13.77734375" style="4" customWidth="1"/>
    <col min="14347" max="14347" width="11.77734375" style="4" bestFit="1" customWidth="1"/>
    <col min="14348" max="14348" width="12.77734375" style="4" bestFit="1" customWidth="1"/>
    <col min="14349" max="14349" width="10.44140625" style="4" bestFit="1" customWidth="1"/>
    <col min="14350" max="14351" width="11.21875" style="4" bestFit="1" customWidth="1"/>
    <col min="14352" max="14592" width="8.88671875" style="4"/>
    <col min="14593" max="14593" width="38.44140625" style="4" customWidth="1"/>
    <col min="14594" max="14594" width="15.44140625" style="4" bestFit="1" customWidth="1"/>
    <col min="14595" max="14595" width="7.77734375" style="4" customWidth="1"/>
    <col min="14596" max="14596" width="19.77734375" style="4" customWidth="1"/>
    <col min="14597" max="14597" width="4.44140625" style="4" customWidth="1"/>
    <col min="14598" max="14598" width="27.21875" style="4" customWidth="1"/>
    <col min="14599" max="14599" width="15.6640625" style="4" customWidth="1"/>
    <col min="14600" max="14600" width="19.77734375" style="4" customWidth="1"/>
    <col min="14601" max="14601" width="8.88671875" style="4"/>
    <col min="14602" max="14602" width="13.77734375" style="4" customWidth="1"/>
    <col min="14603" max="14603" width="11.77734375" style="4" bestFit="1" customWidth="1"/>
    <col min="14604" max="14604" width="12.77734375" style="4" bestFit="1" customWidth="1"/>
    <col min="14605" max="14605" width="10.44140625" style="4" bestFit="1" customWidth="1"/>
    <col min="14606" max="14607" width="11.21875" style="4" bestFit="1" customWidth="1"/>
    <col min="14608" max="14848" width="8.88671875" style="4"/>
    <col min="14849" max="14849" width="38.44140625" style="4" customWidth="1"/>
    <col min="14850" max="14850" width="15.44140625" style="4" bestFit="1" customWidth="1"/>
    <col min="14851" max="14851" width="7.77734375" style="4" customWidth="1"/>
    <col min="14852" max="14852" width="19.77734375" style="4" customWidth="1"/>
    <col min="14853" max="14853" width="4.44140625" style="4" customWidth="1"/>
    <col min="14854" max="14854" width="27.21875" style="4" customWidth="1"/>
    <col min="14855" max="14855" width="15.6640625" style="4" customWidth="1"/>
    <col min="14856" max="14856" width="19.77734375" style="4" customWidth="1"/>
    <col min="14857" max="14857" width="8.88671875" style="4"/>
    <col min="14858" max="14858" width="13.77734375" style="4" customWidth="1"/>
    <col min="14859" max="14859" width="11.77734375" style="4" bestFit="1" customWidth="1"/>
    <col min="14860" max="14860" width="12.77734375" style="4" bestFit="1" customWidth="1"/>
    <col min="14861" max="14861" width="10.44140625" style="4" bestFit="1" customWidth="1"/>
    <col min="14862" max="14863" width="11.21875" style="4" bestFit="1" customWidth="1"/>
    <col min="14864" max="15104" width="8.88671875" style="4"/>
    <col min="15105" max="15105" width="38.44140625" style="4" customWidth="1"/>
    <col min="15106" max="15106" width="15.44140625" style="4" bestFit="1" customWidth="1"/>
    <col min="15107" max="15107" width="7.77734375" style="4" customWidth="1"/>
    <col min="15108" max="15108" width="19.77734375" style="4" customWidth="1"/>
    <col min="15109" max="15109" width="4.44140625" style="4" customWidth="1"/>
    <col min="15110" max="15110" width="27.21875" style="4" customWidth="1"/>
    <col min="15111" max="15111" width="15.6640625" style="4" customWidth="1"/>
    <col min="15112" max="15112" width="19.77734375" style="4" customWidth="1"/>
    <col min="15113" max="15113" width="8.88671875" style="4"/>
    <col min="15114" max="15114" width="13.77734375" style="4" customWidth="1"/>
    <col min="15115" max="15115" width="11.77734375" style="4" bestFit="1" customWidth="1"/>
    <col min="15116" max="15116" width="12.77734375" style="4" bestFit="1" customWidth="1"/>
    <col min="15117" max="15117" width="10.44140625" style="4" bestFit="1" customWidth="1"/>
    <col min="15118" max="15119" width="11.21875" style="4" bestFit="1" customWidth="1"/>
    <col min="15120" max="15360" width="8.88671875" style="4"/>
    <col min="15361" max="15361" width="38.44140625" style="4" customWidth="1"/>
    <col min="15362" max="15362" width="15.44140625" style="4" bestFit="1" customWidth="1"/>
    <col min="15363" max="15363" width="7.77734375" style="4" customWidth="1"/>
    <col min="15364" max="15364" width="19.77734375" style="4" customWidth="1"/>
    <col min="15365" max="15365" width="4.44140625" style="4" customWidth="1"/>
    <col min="15366" max="15366" width="27.21875" style="4" customWidth="1"/>
    <col min="15367" max="15367" width="15.6640625" style="4" customWidth="1"/>
    <col min="15368" max="15368" width="19.77734375" style="4" customWidth="1"/>
    <col min="15369" max="15369" width="8.88671875" style="4"/>
    <col min="15370" max="15370" width="13.77734375" style="4" customWidth="1"/>
    <col min="15371" max="15371" width="11.77734375" style="4" bestFit="1" customWidth="1"/>
    <col min="15372" max="15372" width="12.77734375" style="4" bestFit="1" customWidth="1"/>
    <col min="15373" max="15373" width="10.44140625" style="4" bestFit="1" customWidth="1"/>
    <col min="15374" max="15375" width="11.21875" style="4" bestFit="1" customWidth="1"/>
    <col min="15376" max="15616" width="8.88671875" style="4"/>
    <col min="15617" max="15617" width="38.44140625" style="4" customWidth="1"/>
    <col min="15618" max="15618" width="15.44140625" style="4" bestFit="1" customWidth="1"/>
    <col min="15619" max="15619" width="7.77734375" style="4" customWidth="1"/>
    <col min="15620" max="15620" width="19.77734375" style="4" customWidth="1"/>
    <col min="15621" max="15621" width="4.44140625" style="4" customWidth="1"/>
    <col min="15622" max="15622" width="27.21875" style="4" customWidth="1"/>
    <col min="15623" max="15623" width="15.6640625" style="4" customWidth="1"/>
    <col min="15624" max="15624" width="19.77734375" style="4" customWidth="1"/>
    <col min="15625" max="15625" width="8.88671875" style="4"/>
    <col min="15626" max="15626" width="13.77734375" style="4" customWidth="1"/>
    <col min="15627" max="15627" width="11.77734375" style="4" bestFit="1" customWidth="1"/>
    <col min="15628" max="15628" width="12.77734375" style="4" bestFit="1" customWidth="1"/>
    <col min="15629" max="15629" width="10.44140625" style="4" bestFit="1" customWidth="1"/>
    <col min="15630" max="15631" width="11.21875" style="4" bestFit="1" customWidth="1"/>
    <col min="15632" max="15872" width="8.88671875" style="4"/>
    <col min="15873" max="15873" width="38.44140625" style="4" customWidth="1"/>
    <col min="15874" max="15874" width="15.44140625" style="4" bestFit="1" customWidth="1"/>
    <col min="15875" max="15875" width="7.77734375" style="4" customWidth="1"/>
    <col min="15876" max="15876" width="19.77734375" style="4" customWidth="1"/>
    <col min="15877" max="15877" width="4.44140625" style="4" customWidth="1"/>
    <col min="15878" max="15878" width="27.21875" style="4" customWidth="1"/>
    <col min="15879" max="15879" width="15.6640625" style="4" customWidth="1"/>
    <col min="15880" max="15880" width="19.77734375" style="4" customWidth="1"/>
    <col min="15881" max="15881" width="8.88671875" style="4"/>
    <col min="15882" max="15882" width="13.77734375" style="4" customWidth="1"/>
    <col min="15883" max="15883" width="11.77734375" style="4" bestFit="1" customWidth="1"/>
    <col min="15884" max="15884" width="12.77734375" style="4" bestFit="1" customWidth="1"/>
    <col min="15885" max="15885" width="10.44140625" style="4" bestFit="1" customWidth="1"/>
    <col min="15886" max="15887" width="11.21875" style="4" bestFit="1" customWidth="1"/>
    <col min="15888" max="16128" width="8.88671875" style="4"/>
    <col min="16129" max="16129" width="38.44140625" style="4" customWidth="1"/>
    <col min="16130" max="16130" width="15.44140625" style="4" bestFit="1" customWidth="1"/>
    <col min="16131" max="16131" width="7.77734375" style="4" customWidth="1"/>
    <col min="16132" max="16132" width="19.77734375" style="4" customWidth="1"/>
    <col min="16133" max="16133" width="4.44140625" style="4" customWidth="1"/>
    <col min="16134" max="16134" width="27.21875" style="4" customWidth="1"/>
    <col min="16135" max="16135" width="15.6640625" style="4" customWidth="1"/>
    <col min="16136" max="16136" width="19.77734375" style="4" customWidth="1"/>
    <col min="16137" max="16137" width="8.88671875" style="4"/>
    <col min="16138" max="16138" width="13.77734375" style="4" customWidth="1"/>
    <col min="16139" max="16139" width="11.77734375" style="4" bestFit="1" customWidth="1"/>
    <col min="16140" max="16140" width="12.77734375" style="4" bestFit="1" customWidth="1"/>
    <col min="16141" max="16141" width="10.44140625" style="4" bestFit="1" customWidth="1"/>
    <col min="16142" max="16143" width="11.21875" style="4" bestFit="1" customWidth="1"/>
    <col min="16144" max="16384" width="8.88671875" style="4"/>
  </cols>
  <sheetData>
    <row r="1" spans="1:10" x14ac:dyDescent="0.3">
      <c r="A1" s="1" t="s">
        <v>0</v>
      </c>
      <c r="B1" s="1"/>
      <c r="C1" s="1"/>
      <c r="D1" s="1"/>
      <c r="E1" s="1"/>
      <c r="F1" s="1"/>
      <c r="G1" s="2"/>
      <c r="I1" s="1"/>
    </row>
    <row r="2" spans="1:10" x14ac:dyDescent="0.3">
      <c r="A2" s="1" t="s">
        <v>106</v>
      </c>
      <c r="B2" s="1"/>
      <c r="C2" s="1"/>
      <c r="D2" s="1"/>
      <c r="E2" s="1"/>
      <c r="F2" s="1"/>
      <c r="G2" s="2"/>
      <c r="I2" s="1"/>
    </row>
    <row r="3" spans="1:10" x14ac:dyDescent="0.3">
      <c r="A3" s="1" t="s">
        <v>1</v>
      </c>
      <c r="B3" s="1"/>
      <c r="C3" s="1"/>
      <c r="D3" s="1"/>
      <c r="E3" s="1"/>
      <c r="F3" s="1">
        <v>1.1000000000000001</v>
      </c>
      <c r="G3" s="2"/>
      <c r="I3" s="1">
        <v>1.1499999999999999</v>
      </c>
    </row>
    <row r="4" spans="1:10" x14ac:dyDescent="0.3">
      <c r="A4" s="5" t="s">
        <v>2</v>
      </c>
      <c r="F4" s="6"/>
      <c r="I4" s="6"/>
    </row>
    <row r="5" spans="1:10" x14ac:dyDescent="0.3">
      <c r="A5" s="1" t="s">
        <v>3</v>
      </c>
    </row>
    <row r="6" spans="1:10" x14ac:dyDescent="0.3">
      <c r="G6" s="82" t="s">
        <v>4</v>
      </c>
      <c r="H6" s="82"/>
    </row>
    <row r="7" spans="1:10" x14ac:dyDescent="0.3">
      <c r="A7" s="1" t="s">
        <v>5</v>
      </c>
      <c r="B7" s="7" t="s">
        <v>6</v>
      </c>
      <c r="C7" s="7"/>
      <c r="D7" s="7" t="s">
        <v>7</v>
      </c>
      <c r="E7" s="7"/>
      <c r="F7" s="7" t="s">
        <v>8</v>
      </c>
      <c r="G7" s="8" t="s">
        <v>9</v>
      </c>
      <c r="H7" s="8" t="s">
        <v>10</v>
      </c>
      <c r="I7" s="7" t="s">
        <v>8</v>
      </c>
    </row>
    <row r="8" spans="1:10" x14ac:dyDescent="0.3">
      <c r="A8" s="5" t="s">
        <v>11</v>
      </c>
      <c r="B8" s="9">
        <v>33225</v>
      </c>
      <c r="C8" s="10"/>
      <c r="D8" s="9">
        <v>30000</v>
      </c>
      <c r="E8" s="10"/>
      <c r="F8" s="10">
        <f>+[1]breakdown!T5*F3</f>
        <v>39600</v>
      </c>
      <c r="G8" s="11">
        <f t="shared" ref="G8:G14" si="0">+B8-D8</f>
        <v>3225</v>
      </c>
      <c r="H8" s="12">
        <f>(G8/D8)*100</f>
        <v>10.75</v>
      </c>
      <c r="I8" s="10">
        <v>41400</v>
      </c>
    </row>
    <row r="9" spans="1:10" x14ac:dyDescent="0.3">
      <c r="A9" s="5" t="s">
        <v>12</v>
      </c>
      <c r="B9" s="9">
        <v>45550</v>
      </c>
      <c r="C9" s="10"/>
      <c r="D9" s="9">
        <v>45000</v>
      </c>
      <c r="E9" s="10"/>
      <c r="F9" s="10">
        <f>(+[1]breakdown!T6+[1]breakdown!T11)*$F$3</f>
        <v>47520.000000000007</v>
      </c>
      <c r="G9" s="11">
        <f t="shared" si="0"/>
        <v>550</v>
      </c>
      <c r="H9" s="12">
        <f t="shared" ref="H9:H14" si="1">(G9/D9)*100</f>
        <v>1.2222222222222223</v>
      </c>
      <c r="I9" s="10">
        <v>49679.999999999993</v>
      </c>
    </row>
    <row r="10" spans="1:10" x14ac:dyDescent="0.3">
      <c r="A10" s="5" t="s">
        <v>13</v>
      </c>
      <c r="B10" s="9">
        <v>78390</v>
      </c>
      <c r="C10" s="10"/>
      <c r="D10" s="9">
        <v>75000</v>
      </c>
      <c r="E10" s="10"/>
      <c r="F10" s="10">
        <f>(+[1]breakdown!T7+[1]breakdown!T12)*$F$3</f>
        <v>78309</v>
      </c>
      <c r="G10" s="11">
        <f t="shared" si="0"/>
        <v>3390</v>
      </c>
      <c r="H10" s="12">
        <f t="shared" si="1"/>
        <v>4.5199999999999996</v>
      </c>
      <c r="I10" s="10">
        <v>81868.5</v>
      </c>
    </row>
    <row r="11" spans="1:10" x14ac:dyDescent="0.3">
      <c r="A11" s="5" t="s">
        <v>14</v>
      </c>
      <c r="B11" s="9">
        <v>75670.25</v>
      </c>
      <c r="C11" s="10"/>
      <c r="D11" s="9">
        <v>74000</v>
      </c>
      <c r="E11" s="10"/>
      <c r="F11" s="10">
        <f>(+[1]breakdown!T8+[1]breakdown!T13)*$F$3</f>
        <v>81427.5</v>
      </c>
      <c r="G11" s="11">
        <f t="shared" si="0"/>
        <v>1670.25</v>
      </c>
      <c r="H11" s="12">
        <f t="shared" si="1"/>
        <v>2.2570945945945944</v>
      </c>
      <c r="I11" s="10">
        <v>85128.75</v>
      </c>
    </row>
    <row r="12" spans="1:10" x14ac:dyDescent="0.3">
      <c r="A12" s="5" t="s">
        <v>15</v>
      </c>
      <c r="B12" s="9">
        <v>59463.75</v>
      </c>
      <c r="C12" s="10"/>
      <c r="D12" s="9">
        <v>53000</v>
      </c>
      <c r="E12" s="10"/>
      <c r="F12" s="10">
        <f>(+[1]breakdown!T9+[1]breakdown!T14)*$F$3</f>
        <v>76829.5</v>
      </c>
      <c r="G12" s="11">
        <f t="shared" si="0"/>
        <v>6463.75</v>
      </c>
      <c r="H12" s="12">
        <f t="shared" si="1"/>
        <v>12.195754716981131</v>
      </c>
      <c r="I12" s="10">
        <v>80321.75</v>
      </c>
    </row>
    <row r="13" spans="1:10" x14ac:dyDescent="0.3">
      <c r="A13" s="5" t="s">
        <v>16</v>
      </c>
      <c r="B13" s="13">
        <v>52899</v>
      </c>
      <c r="C13" s="10"/>
      <c r="D13" s="13">
        <v>48000</v>
      </c>
      <c r="E13" s="10"/>
      <c r="F13" s="10">
        <f>(+[1]breakdown!T10+[1]breakdown!T15)*$F$3</f>
        <v>53014.500000000007</v>
      </c>
      <c r="G13" s="14">
        <f t="shared" si="0"/>
        <v>4899</v>
      </c>
      <c r="H13" s="12">
        <f t="shared" si="1"/>
        <v>10.206250000000001</v>
      </c>
      <c r="I13" s="10">
        <v>55424.249999999993</v>
      </c>
    </row>
    <row r="14" spans="1:10" x14ac:dyDescent="0.3">
      <c r="A14" s="1" t="s">
        <v>17</v>
      </c>
      <c r="B14" s="15">
        <f>SUBTOTAL(9,B6:B13)</f>
        <v>345198</v>
      </c>
      <c r="C14" s="10"/>
      <c r="D14" s="15">
        <f>SUBTOTAL(9,D6:D13)</f>
        <v>325000</v>
      </c>
      <c r="E14" s="10"/>
      <c r="F14" s="15">
        <f>SUBTOTAL(9,F6:F13)</f>
        <v>376700.5</v>
      </c>
      <c r="G14" s="16">
        <f t="shared" si="0"/>
        <v>20198</v>
      </c>
      <c r="H14" s="17">
        <f t="shared" si="1"/>
        <v>6.2147692307692308</v>
      </c>
      <c r="I14" s="15">
        <v>393823.25</v>
      </c>
      <c r="J14" s="18"/>
    </row>
    <row r="15" spans="1:10" x14ac:dyDescent="0.3">
      <c r="B15" s="18"/>
      <c r="D15" s="18"/>
      <c r="G15" s="19"/>
      <c r="H15" s="20"/>
    </row>
    <row r="16" spans="1:10" x14ac:dyDescent="0.3">
      <c r="A16" s="1" t="s">
        <v>18</v>
      </c>
      <c r="B16" s="18"/>
      <c r="D16" s="18"/>
      <c r="G16" s="19"/>
      <c r="H16" s="20"/>
    </row>
    <row r="17" spans="1:11" x14ac:dyDescent="0.3">
      <c r="A17" s="5" t="s">
        <v>19</v>
      </c>
      <c r="B17" s="9">
        <v>23842</v>
      </c>
      <c r="C17" s="10"/>
      <c r="D17" s="9">
        <v>23000</v>
      </c>
      <c r="E17" s="10"/>
      <c r="F17" s="10">
        <v>23000</v>
      </c>
      <c r="G17" s="11">
        <f t="shared" ref="G17:G24" si="2">+B17-D17</f>
        <v>842</v>
      </c>
      <c r="H17" s="12">
        <f>(G17/D17)*100</f>
        <v>3.6608695652173915</v>
      </c>
      <c r="I17" s="10">
        <v>23000</v>
      </c>
    </row>
    <row r="18" spans="1:11" x14ac:dyDescent="0.3">
      <c r="A18" s="5" t="s">
        <v>20</v>
      </c>
      <c r="B18" s="9">
        <v>4020</v>
      </c>
      <c r="C18" s="10"/>
      <c r="D18" s="9">
        <v>6060</v>
      </c>
      <c r="E18" s="10"/>
      <c r="F18" s="10">
        <v>6060</v>
      </c>
      <c r="G18" s="11">
        <f t="shared" si="2"/>
        <v>-2040</v>
      </c>
      <c r="H18" s="12">
        <f t="shared" ref="H18:H26" si="3">(G18/D18)*100</f>
        <v>-33.663366336633665</v>
      </c>
      <c r="I18" s="10">
        <v>6060</v>
      </c>
    </row>
    <row r="19" spans="1:11" x14ac:dyDescent="0.3">
      <c r="A19" s="5" t="s">
        <v>21</v>
      </c>
      <c r="B19" s="9">
        <v>1424.28</v>
      </c>
      <c r="C19" s="10"/>
      <c r="D19" s="9">
        <v>2500</v>
      </c>
      <c r="E19" s="10"/>
      <c r="F19" s="10">
        <v>1300</v>
      </c>
      <c r="G19" s="11">
        <f t="shared" si="2"/>
        <v>-1075.72</v>
      </c>
      <c r="H19" s="12">
        <f t="shared" si="3"/>
        <v>-43.028800000000004</v>
      </c>
      <c r="I19" s="10">
        <v>1300</v>
      </c>
    </row>
    <row r="20" spans="1:11" x14ac:dyDescent="0.3">
      <c r="A20" s="5" t="s">
        <v>22</v>
      </c>
      <c r="B20" s="9">
        <v>14745</v>
      </c>
      <c r="C20" s="10"/>
      <c r="D20" s="9">
        <f>4800+4800+6400+4800</f>
        <v>20800</v>
      </c>
      <c r="E20" s="10"/>
      <c r="F20" s="21">
        <v>15000</v>
      </c>
      <c r="G20" s="11">
        <f t="shared" si="2"/>
        <v>-6055</v>
      </c>
      <c r="H20" s="12">
        <f t="shared" si="3"/>
        <v>-29.110576923076927</v>
      </c>
      <c r="I20" s="21">
        <v>15000</v>
      </c>
    </row>
    <row r="21" spans="1:11" x14ac:dyDescent="0.3">
      <c r="A21" s="5" t="s">
        <v>23</v>
      </c>
      <c r="B21" s="9">
        <v>0</v>
      </c>
      <c r="C21" s="10"/>
      <c r="D21" s="9">
        <v>30000</v>
      </c>
      <c r="E21" s="10"/>
      <c r="F21" s="10">
        <v>5000</v>
      </c>
      <c r="G21" s="11">
        <f t="shared" si="2"/>
        <v>-30000</v>
      </c>
      <c r="H21" s="12">
        <f t="shared" si="3"/>
        <v>-100</v>
      </c>
      <c r="I21" s="10">
        <v>5000</v>
      </c>
    </row>
    <row r="22" spans="1:11" x14ac:dyDescent="0.3">
      <c r="A22" s="5" t="s">
        <v>24</v>
      </c>
      <c r="B22" s="9">
        <v>1000</v>
      </c>
      <c r="C22" s="10"/>
      <c r="D22" s="9">
        <v>0</v>
      </c>
      <c r="E22" s="10"/>
      <c r="F22" s="10">
        <v>1000</v>
      </c>
      <c r="G22" s="11">
        <f>+B22-D22</f>
        <v>1000</v>
      </c>
      <c r="H22" s="12" t="e">
        <f>(G22/D22)*100</f>
        <v>#DIV/0!</v>
      </c>
      <c r="I22" s="10">
        <v>1000</v>
      </c>
    </row>
    <row r="23" spans="1:11" x14ac:dyDescent="0.3">
      <c r="A23" s="5" t="s">
        <v>25</v>
      </c>
      <c r="B23" s="9">
        <v>5899.31</v>
      </c>
      <c r="C23" s="10"/>
      <c r="D23" s="9">
        <v>2500</v>
      </c>
      <c r="E23" s="10"/>
      <c r="F23" s="10">
        <v>4000</v>
      </c>
      <c r="G23" s="11">
        <f t="shared" si="2"/>
        <v>3399.3100000000004</v>
      </c>
      <c r="H23" s="12">
        <f t="shared" si="3"/>
        <v>135.97240000000002</v>
      </c>
      <c r="I23" s="10">
        <v>4000</v>
      </c>
    </row>
    <row r="24" spans="1:11" x14ac:dyDescent="0.3">
      <c r="A24" s="1" t="s">
        <v>26</v>
      </c>
      <c r="B24" s="15">
        <f>SUBTOTAL(9,B15:B23)</f>
        <v>50930.59</v>
      </c>
      <c r="C24" s="10"/>
      <c r="D24" s="15">
        <f>SUBTOTAL(9,D15:D23)</f>
        <v>84860</v>
      </c>
      <c r="E24" s="9"/>
      <c r="F24" s="15">
        <f>SUBTOTAL(9,F15:F23)</f>
        <v>55360</v>
      </c>
      <c r="G24" s="16">
        <f t="shared" si="2"/>
        <v>-33929.410000000003</v>
      </c>
      <c r="H24" s="17">
        <f t="shared" si="3"/>
        <v>-39.982806976196088</v>
      </c>
      <c r="I24" s="15">
        <v>55360</v>
      </c>
    </row>
    <row r="25" spans="1:11" x14ac:dyDescent="0.3">
      <c r="B25" s="18"/>
      <c r="D25" s="18"/>
      <c r="G25" s="19"/>
      <c r="H25" s="12"/>
    </row>
    <row r="26" spans="1:11" s="25" customFormat="1" x14ac:dyDescent="0.3">
      <c r="A26" s="2" t="s">
        <v>27</v>
      </c>
      <c r="B26" s="22">
        <f>SUBTOTAL(9,B6:B24)</f>
        <v>396128.59</v>
      </c>
      <c r="C26" s="23"/>
      <c r="D26" s="22">
        <f>SUBTOTAL(9,D6:D24)</f>
        <v>409860</v>
      </c>
      <c r="E26" s="22"/>
      <c r="F26" s="22">
        <f>SUBTOTAL(9,F6:F24)</f>
        <v>432060.5</v>
      </c>
      <c r="G26" s="22">
        <f>+B26-D26</f>
        <v>-13731.409999999974</v>
      </c>
      <c r="H26" s="24">
        <f t="shared" si="3"/>
        <v>-3.3502683843263492</v>
      </c>
      <c r="I26" s="22">
        <f>+I14+I24</f>
        <v>449183.25</v>
      </c>
    </row>
    <row r="27" spans="1:11" x14ac:dyDescent="0.3">
      <c r="D27" s="18"/>
      <c r="H27" s="12"/>
    </row>
    <row r="28" spans="1:11" x14ac:dyDescent="0.3">
      <c r="A28" s="1" t="s">
        <v>28</v>
      </c>
      <c r="K28" s="18"/>
    </row>
    <row r="30" spans="1:11" x14ac:dyDescent="0.3">
      <c r="A30" s="1" t="s">
        <v>29</v>
      </c>
    </row>
    <row r="31" spans="1:11" x14ac:dyDescent="0.3">
      <c r="A31" s="5" t="s">
        <v>30</v>
      </c>
      <c r="B31" s="9">
        <v>26989.79</v>
      </c>
      <c r="C31" s="9"/>
      <c r="D31" s="9">
        <v>24000</v>
      </c>
      <c r="E31" s="9"/>
      <c r="F31" s="9">
        <f>+[1]breakdown!G5</f>
        <v>32800</v>
      </c>
      <c r="G31" s="11">
        <f t="shared" ref="G31:G39" si="4">+B31-D31</f>
        <v>2989.7900000000009</v>
      </c>
      <c r="H31" s="12">
        <f t="shared" ref="H31:H39" si="5">(G31/D31)*100</f>
        <v>12.457458333333337</v>
      </c>
      <c r="I31" s="9">
        <v>32800</v>
      </c>
    </row>
    <row r="32" spans="1:11" x14ac:dyDescent="0.3">
      <c r="A32" s="5" t="s">
        <v>31</v>
      </c>
      <c r="B32" s="9">
        <v>32794.92</v>
      </c>
      <c r="C32" s="9"/>
      <c r="D32" s="9">
        <f>21200+16000</f>
        <v>37200</v>
      </c>
      <c r="E32" s="9"/>
      <c r="F32" s="9">
        <f>+[1]breakdown!G6+[1]breakdown!G11</f>
        <v>41000</v>
      </c>
      <c r="G32" s="11">
        <f t="shared" si="4"/>
        <v>-4405.0800000000017</v>
      </c>
      <c r="H32" s="12">
        <f t="shared" si="5"/>
        <v>-11.84161290322581</v>
      </c>
      <c r="I32" s="9">
        <v>41000</v>
      </c>
    </row>
    <row r="33" spans="1:11" x14ac:dyDescent="0.3">
      <c r="A33" s="5" t="s">
        <v>32</v>
      </c>
      <c r="B33" s="9">
        <v>53888.85</v>
      </c>
      <c r="C33" s="9"/>
      <c r="D33" s="9">
        <f>16000+36000</f>
        <v>52000</v>
      </c>
      <c r="E33" s="9"/>
      <c r="F33" s="9">
        <f>+[1]breakdown!G7+[1]breakdown!G12</f>
        <v>58835</v>
      </c>
      <c r="G33" s="11">
        <f t="shared" si="4"/>
        <v>1888.8499999999985</v>
      </c>
      <c r="H33" s="12">
        <f t="shared" si="5"/>
        <v>3.6324038461538435</v>
      </c>
      <c r="I33" s="9">
        <v>58835</v>
      </c>
    </row>
    <row r="34" spans="1:11" x14ac:dyDescent="0.3">
      <c r="A34" s="5" t="s">
        <v>33</v>
      </c>
      <c r="B34" s="9">
        <v>48208.29</v>
      </c>
      <c r="C34" s="9"/>
      <c r="D34" s="9">
        <f>24000+24000</f>
        <v>48000</v>
      </c>
      <c r="E34" s="9"/>
      <c r="F34" s="9">
        <f>+[1]breakdown!G8+[1]breakdown!G13</f>
        <v>58835</v>
      </c>
      <c r="G34" s="11">
        <f t="shared" si="4"/>
        <v>208.29000000000087</v>
      </c>
      <c r="H34" s="12">
        <f t="shared" si="5"/>
        <v>0.43393750000000186</v>
      </c>
      <c r="I34" s="9">
        <v>58835</v>
      </c>
    </row>
    <row r="35" spans="1:11" x14ac:dyDescent="0.3">
      <c r="A35" s="5" t="s">
        <v>34</v>
      </c>
      <c r="B35" s="9">
        <v>40954.94</v>
      </c>
      <c r="C35" s="9"/>
      <c r="D35" s="9">
        <v>40000</v>
      </c>
      <c r="E35" s="9"/>
      <c r="F35" s="9">
        <f>+[1]breakdown!G9+[1]breakdown!G14</f>
        <v>52890</v>
      </c>
      <c r="G35" s="11">
        <f t="shared" si="4"/>
        <v>954.94000000000233</v>
      </c>
      <c r="H35" s="12">
        <f t="shared" si="5"/>
        <v>2.3873500000000059</v>
      </c>
      <c r="I35" s="9">
        <v>52890</v>
      </c>
    </row>
    <row r="36" spans="1:11" x14ac:dyDescent="0.3">
      <c r="A36" s="5" t="s">
        <v>35</v>
      </c>
      <c r="B36" s="9">
        <v>28876.87</v>
      </c>
      <c r="C36" s="9"/>
      <c r="D36" s="9">
        <v>33000</v>
      </c>
      <c r="E36" s="9"/>
      <c r="F36" s="9">
        <f>+[1]breakdown!G15+[1]breakdown!G10</f>
        <v>34645</v>
      </c>
      <c r="G36" s="11">
        <f t="shared" si="4"/>
        <v>-4123.130000000001</v>
      </c>
      <c r="H36" s="12">
        <f t="shared" si="5"/>
        <v>-12.494333333333337</v>
      </c>
      <c r="I36" s="9">
        <v>34645</v>
      </c>
    </row>
    <row r="37" spans="1:11" x14ac:dyDescent="0.3">
      <c r="A37" s="5" t="s">
        <v>36</v>
      </c>
      <c r="B37" s="9">
        <v>2280</v>
      </c>
      <c r="C37" s="9"/>
      <c r="D37" s="9">
        <f>1520+720+720</f>
        <v>2960</v>
      </c>
      <c r="E37" s="9"/>
      <c r="F37" s="9">
        <v>3000</v>
      </c>
      <c r="G37" s="11">
        <f t="shared" si="4"/>
        <v>-680</v>
      </c>
      <c r="H37" s="12">
        <f t="shared" si="5"/>
        <v>-22.972972972972975</v>
      </c>
      <c r="I37" s="9">
        <v>3000</v>
      </c>
    </row>
    <row r="38" spans="1:11" x14ac:dyDescent="0.3">
      <c r="A38" s="5" t="s">
        <v>37</v>
      </c>
      <c r="B38" s="9">
        <v>879.99</v>
      </c>
      <c r="C38" s="9"/>
      <c r="D38" s="9">
        <v>1000</v>
      </c>
      <c r="E38" s="9"/>
      <c r="F38" s="9">
        <v>1000</v>
      </c>
      <c r="G38" s="11">
        <f t="shared" si="4"/>
        <v>-120.00999999999999</v>
      </c>
      <c r="H38" s="12">
        <f t="shared" si="5"/>
        <v>-12.000999999999999</v>
      </c>
      <c r="I38" s="9">
        <v>1000</v>
      </c>
    </row>
    <row r="39" spans="1:11" x14ac:dyDescent="0.3">
      <c r="A39" s="1" t="s">
        <v>38</v>
      </c>
      <c r="B39" s="15">
        <f>SUBTOTAL(9,B29:B38)</f>
        <v>234873.65</v>
      </c>
      <c r="C39" s="9"/>
      <c r="D39" s="15">
        <f>SUBTOTAL(9,D29:D38)</f>
        <v>238160</v>
      </c>
      <c r="E39" s="9"/>
      <c r="F39" s="15">
        <f>SUBTOTAL(9,F31:F38)</f>
        <v>283005</v>
      </c>
      <c r="G39" s="16">
        <f t="shared" si="4"/>
        <v>-3286.3500000000058</v>
      </c>
      <c r="H39" s="17">
        <f t="shared" si="5"/>
        <v>-1.3798916694659076</v>
      </c>
      <c r="I39" s="15">
        <v>283005</v>
      </c>
      <c r="K39" s="18"/>
    </row>
    <row r="41" spans="1:11" x14ac:dyDescent="0.3">
      <c r="A41" s="1" t="s">
        <v>19</v>
      </c>
    </row>
    <row r="42" spans="1:11" x14ac:dyDescent="0.3">
      <c r="A42" s="5" t="s">
        <v>39</v>
      </c>
      <c r="B42" s="9">
        <v>5482.49</v>
      </c>
      <c r="C42" s="9"/>
      <c r="D42" s="9">
        <v>8000</v>
      </c>
      <c r="E42" s="9"/>
      <c r="F42" s="9">
        <v>7000</v>
      </c>
      <c r="G42" s="11">
        <f>+B42-D42</f>
        <v>-2517.5100000000002</v>
      </c>
      <c r="H42" s="12">
        <f>(G42/D42)*100</f>
        <v>-31.468875000000001</v>
      </c>
      <c r="I42" s="9">
        <v>7000</v>
      </c>
    </row>
    <row r="43" spans="1:11" x14ac:dyDescent="0.3">
      <c r="A43" s="5" t="s">
        <v>40</v>
      </c>
      <c r="B43" s="9">
        <v>7100</v>
      </c>
      <c r="C43" s="9"/>
      <c r="D43" s="9">
        <v>7000</v>
      </c>
      <c r="E43" s="9"/>
      <c r="F43" s="9">
        <v>7500</v>
      </c>
      <c r="G43" s="11">
        <f>+B43-D43</f>
        <v>100</v>
      </c>
      <c r="H43" s="12">
        <f>(G43/D43)*100</f>
        <v>1.4285714285714286</v>
      </c>
      <c r="I43" s="9">
        <v>7500</v>
      </c>
    </row>
    <row r="44" spans="1:11" x14ac:dyDescent="0.3">
      <c r="A44" s="5" t="s">
        <v>41</v>
      </c>
      <c r="B44" s="9">
        <v>1715.73</v>
      </c>
      <c r="C44" s="9"/>
      <c r="D44" s="9">
        <v>1700</v>
      </c>
      <c r="E44" s="9"/>
      <c r="F44" s="9">
        <v>1800</v>
      </c>
      <c r="G44" s="11">
        <f>+B44-D44</f>
        <v>15.730000000000018</v>
      </c>
      <c r="H44" s="12">
        <f>(G44/D44)*100</f>
        <v>0.92529411764705993</v>
      </c>
      <c r="I44" s="9">
        <v>1800</v>
      </c>
    </row>
    <row r="45" spans="1:11" x14ac:dyDescent="0.3">
      <c r="A45" s="5" t="s">
        <v>42</v>
      </c>
      <c r="B45" s="13">
        <v>1175</v>
      </c>
      <c r="C45" s="9"/>
      <c r="D45" s="13">
        <v>0</v>
      </c>
      <c r="E45" s="9"/>
      <c r="F45" s="9">
        <v>1200</v>
      </c>
      <c r="G45" s="11">
        <f>+B45-D45</f>
        <v>1175</v>
      </c>
      <c r="H45" s="12" t="e">
        <f>(G45/D45)*100</f>
        <v>#DIV/0!</v>
      </c>
      <c r="I45" s="9">
        <v>1200</v>
      </c>
    </row>
    <row r="46" spans="1:11" x14ac:dyDescent="0.3">
      <c r="A46" s="1" t="s">
        <v>43</v>
      </c>
      <c r="B46" s="15">
        <f>SUBTOTAL(9,B40:B45)</f>
        <v>15473.22</v>
      </c>
      <c r="C46" s="9"/>
      <c r="D46" s="15">
        <f>SUBTOTAL(9,D40:D45)</f>
        <v>16700</v>
      </c>
      <c r="E46" s="9"/>
      <c r="F46" s="15">
        <f>SUBTOTAL(9,F42:F45)</f>
        <v>17500</v>
      </c>
      <c r="G46" s="16">
        <f>+B46-D46</f>
        <v>-1226.7800000000007</v>
      </c>
      <c r="H46" s="17">
        <f>(G46/D46)*100</f>
        <v>-7.3459880239520992</v>
      </c>
      <c r="I46" s="15">
        <v>17500</v>
      </c>
    </row>
    <row r="47" spans="1:11" x14ac:dyDescent="0.3">
      <c r="B47" s="18"/>
      <c r="C47" s="18"/>
      <c r="D47" s="18"/>
      <c r="E47" s="18"/>
      <c r="F47" s="18"/>
      <c r="G47" s="19"/>
      <c r="I47" s="18"/>
    </row>
    <row r="48" spans="1:11" x14ac:dyDescent="0.3">
      <c r="A48" s="1" t="s">
        <v>22</v>
      </c>
      <c r="B48" s="18"/>
      <c r="C48" s="18"/>
      <c r="D48" s="18"/>
      <c r="E48" s="18"/>
      <c r="F48" s="18"/>
      <c r="G48" s="19"/>
      <c r="I48" s="18"/>
    </row>
    <row r="49" spans="1:11" x14ac:dyDescent="0.3">
      <c r="A49" s="5" t="s">
        <v>44</v>
      </c>
      <c r="B49" s="9">
        <v>12604.6</v>
      </c>
      <c r="C49" s="9"/>
      <c r="D49" s="9">
        <f>7600+1900+3800</f>
        <v>13300</v>
      </c>
      <c r="E49" s="9"/>
      <c r="F49" s="9">
        <f>+B49*1.1</f>
        <v>13865.060000000001</v>
      </c>
      <c r="G49" s="11">
        <f>+B49-D49</f>
        <v>-695.39999999999964</v>
      </c>
      <c r="H49" s="12">
        <f>(G49/D49)*100</f>
        <v>-5.228571428571426</v>
      </c>
      <c r="I49" s="9">
        <v>13865.060000000001</v>
      </c>
    </row>
    <row r="50" spans="1:11" x14ac:dyDescent="0.3">
      <c r="A50" s="5" t="s">
        <v>45</v>
      </c>
      <c r="B50" s="13">
        <v>6100</v>
      </c>
      <c r="C50" s="9"/>
      <c r="D50" s="13">
        <f>2100+4000+600</f>
        <v>6700</v>
      </c>
      <c r="E50" s="9"/>
      <c r="F50" s="9">
        <v>6500</v>
      </c>
      <c r="G50" s="14">
        <f>+B50-D50</f>
        <v>-600</v>
      </c>
      <c r="H50" s="12">
        <f>(G50/D50)*100</f>
        <v>-8.9552238805970141</v>
      </c>
      <c r="I50" s="9">
        <v>6500</v>
      </c>
    </row>
    <row r="51" spans="1:11" x14ac:dyDescent="0.3">
      <c r="A51" s="1" t="s">
        <v>46</v>
      </c>
      <c r="B51" s="15">
        <f>SUBTOTAL(9,B47:B50)</f>
        <v>18704.599999999999</v>
      </c>
      <c r="C51" s="9"/>
      <c r="D51" s="15">
        <f>SUBTOTAL(9,D47:D50)</f>
        <v>20000</v>
      </c>
      <c r="E51" s="9"/>
      <c r="F51" s="15">
        <f>SUBTOTAL(9,F47:F50)</f>
        <v>20365.060000000001</v>
      </c>
      <c r="G51" s="16">
        <f>+B51-D51</f>
        <v>-1295.4000000000015</v>
      </c>
      <c r="H51" s="17">
        <f>(G51/D51)*100</f>
        <v>-6.4770000000000074</v>
      </c>
      <c r="I51" s="15">
        <v>20365.060000000001</v>
      </c>
    </row>
    <row r="52" spans="1:11" x14ac:dyDescent="0.3">
      <c r="B52" s="18"/>
      <c r="C52" s="18"/>
      <c r="D52" s="18"/>
      <c r="E52" s="18"/>
      <c r="F52" s="18"/>
      <c r="G52" s="19"/>
      <c r="I52" s="18"/>
    </row>
    <row r="53" spans="1:11" x14ac:dyDescent="0.3">
      <c r="A53" s="1" t="s">
        <v>47</v>
      </c>
      <c r="B53" s="18"/>
      <c r="C53" s="18"/>
      <c r="D53" s="18"/>
      <c r="E53" s="18"/>
      <c r="F53" s="18"/>
      <c r="G53" s="19"/>
      <c r="I53" s="18"/>
    </row>
    <row r="54" spans="1:11" x14ac:dyDescent="0.3">
      <c r="A54" s="5" t="s">
        <v>48</v>
      </c>
      <c r="B54" s="9">
        <v>27065</v>
      </c>
      <c r="C54" s="9"/>
      <c r="D54" s="9">
        <v>30000</v>
      </c>
      <c r="E54" s="9"/>
      <c r="F54" s="9">
        <v>35000</v>
      </c>
      <c r="G54" s="11">
        <f>+B54-D54</f>
        <v>-2935</v>
      </c>
      <c r="H54" s="12">
        <f>(G54/D54)*100</f>
        <v>-9.7833333333333332</v>
      </c>
      <c r="I54" s="9">
        <v>35000</v>
      </c>
    </row>
    <row r="55" spans="1:11" x14ac:dyDescent="0.3">
      <c r="A55" s="5" t="s">
        <v>49</v>
      </c>
      <c r="B55" s="9">
        <v>5115</v>
      </c>
      <c r="C55" s="9"/>
      <c r="D55" s="9">
        <v>5000</v>
      </c>
      <c r="E55" s="9"/>
      <c r="F55" s="9">
        <v>5000</v>
      </c>
      <c r="G55" s="11">
        <f>+B55-D55</f>
        <v>115</v>
      </c>
      <c r="H55" s="12">
        <f>(G55/D55)*100</f>
        <v>2.2999999999999998</v>
      </c>
      <c r="I55" s="9">
        <v>5000</v>
      </c>
    </row>
    <row r="56" spans="1:11" x14ac:dyDescent="0.3">
      <c r="A56" s="1" t="s">
        <v>50</v>
      </c>
      <c r="B56" s="15">
        <f>SUBTOTAL(9,B52:B55)</f>
        <v>32180</v>
      </c>
      <c r="C56" s="9"/>
      <c r="D56" s="15">
        <f>SUBTOTAL(9,D52:D55)</f>
        <v>35000</v>
      </c>
      <c r="E56" s="9"/>
      <c r="F56" s="15">
        <f>SUBTOTAL(9,F52:F55)</f>
        <v>40000</v>
      </c>
      <c r="G56" s="16">
        <f>+B56-D56</f>
        <v>-2820</v>
      </c>
      <c r="H56" s="17">
        <f>(G56/D56)*100</f>
        <v>-8.0571428571428569</v>
      </c>
      <c r="I56" s="15">
        <v>40000</v>
      </c>
    </row>
    <row r="57" spans="1:11" x14ac:dyDescent="0.3">
      <c r="B57" s="18"/>
      <c r="C57" s="18"/>
      <c r="D57" s="18"/>
      <c r="E57" s="18"/>
      <c r="F57" s="18"/>
      <c r="G57" s="19"/>
      <c r="I57" s="18"/>
    </row>
    <row r="58" spans="1:11" x14ac:dyDescent="0.3">
      <c r="A58" s="1" t="s">
        <v>51</v>
      </c>
      <c r="B58" s="18"/>
      <c r="C58" s="18"/>
      <c r="D58" s="18"/>
      <c r="E58" s="18"/>
      <c r="F58" s="18"/>
      <c r="G58" s="19"/>
      <c r="I58" s="18"/>
    </row>
    <row r="59" spans="1:11" x14ac:dyDescent="0.3">
      <c r="A59" s="5" t="s">
        <v>52</v>
      </c>
      <c r="B59" s="18">
        <v>301.3</v>
      </c>
      <c r="C59" s="18"/>
      <c r="D59" s="18">
        <v>0</v>
      </c>
      <c r="E59" s="18"/>
      <c r="F59" s="18">
        <v>500</v>
      </c>
      <c r="G59" s="11">
        <f>+B59-D59</f>
        <v>301.3</v>
      </c>
      <c r="H59" s="12" t="e">
        <f>(G59/D59)*100</f>
        <v>#DIV/0!</v>
      </c>
      <c r="I59" s="18">
        <v>500</v>
      </c>
    </row>
    <row r="60" spans="1:11" x14ac:dyDescent="0.3">
      <c r="A60" s="5" t="s">
        <v>53</v>
      </c>
      <c r="B60" s="9">
        <v>62.3</v>
      </c>
      <c r="C60" s="9"/>
      <c r="D60" s="9">
        <v>31.15</v>
      </c>
      <c r="E60" s="9"/>
      <c r="F60" s="9">
        <v>31</v>
      </c>
      <c r="G60" s="11">
        <f t="shared" ref="G60:G72" si="6">+B60-D60</f>
        <v>31.15</v>
      </c>
      <c r="H60" s="12">
        <f t="shared" ref="H60:H72" si="7">(G60/D60)*100</f>
        <v>100</v>
      </c>
      <c r="I60" s="9">
        <v>31</v>
      </c>
    </row>
    <row r="61" spans="1:11" x14ac:dyDescent="0.3">
      <c r="A61" s="5" t="s">
        <v>54</v>
      </c>
      <c r="B61" s="9">
        <v>5956.13</v>
      </c>
      <c r="C61" s="9"/>
      <c r="D61" s="9">
        <v>2500</v>
      </c>
      <c r="E61" s="9"/>
      <c r="F61" s="9">
        <v>5000</v>
      </c>
      <c r="G61" s="11">
        <f t="shared" si="6"/>
        <v>3456.13</v>
      </c>
      <c r="H61" s="12">
        <f>(G61/D61)*100</f>
        <v>138.24520000000001</v>
      </c>
      <c r="I61" s="9">
        <v>5000</v>
      </c>
    </row>
    <row r="62" spans="1:11" x14ac:dyDescent="0.3">
      <c r="A62" s="5" t="s">
        <v>55</v>
      </c>
      <c r="B62" s="9">
        <v>395.83</v>
      </c>
      <c r="C62" s="9"/>
      <c r="D62" s="9">
        <v>400</v>
      </c>
      <c r="E62" s="9"/>
      <c r="F62" s="9">
        <v>400</v>
      </c>
      <c r="G62" s="11">
        <f t="shared" si="6"/>
        <v>-4.1700000000000159</v>
      </c>
      <c r="H62" s="12">
        <f t="shared" si="7"/>
        <v>-1.042500000000004</v>
      </c>
      <c r="I62" s="9">
        <v>400</v>
      </c>
    </row>
    <row r="63" spans="1:11" x14ac:dyDescent="0.3">
      <c r="A63" s="5" t="s">
        <v>56</v>
      </c>
      <c r="B63" s="9">
        <v>10121.65</v>
      </c>
      <c r="C63" s="9"/>
      <c r="D63" s="9">
        <f>325000*0.03</f>
        <v>9750</v>
      </c>
      <c r="E63" s="9"/>
      <c r="F63" s="9">
        <f>+(F14+F17+F18)*0.027</f>
        <v>10955.5335</v>
      </c>
      <c r="G63" s="11">
        <f t="shared" si="6"/>
        <v>371.64999999999964</v>
      </c>
      <c r="H63" s="12">
        <f t="shared" si="7"/>
        <v>3.8117948717948678</v>
      </c>
      <c r="I63" s="9">
        <v>11417.847749999999</v>
      </c>
      <c r="K63" s="18"/>
    </row>
    <row r="64" spans="1:11" x14ac:dyDescent="0.3">
      <c r="A64" s="5" t="s">
        <v>57</v>
      </c>
      <c r="B64" s="9">
        <v>20712.310000000001</v>
      </c>
      <c r="C64" s="9"/>
      <c r="D64" s="9">
        <v>25000</v>
      </c>
      <c r="E64" s="9"/>
      <c r="F64" s="9">
        <v>5000</v>
      </c>
      <c r="G64" s="11">
        <f t="shared" si="6"/>
        <v>-4287.6899999999987</v>
      </c>
      <c r="H64" s="12">
        <f t="shared" si="7"/>
        <v>-17.150759999999995</v>
      </c>
      <c r="I64" s="9">
        <v>5000</v>
      </c>
    </row>
    <row r="65" spans="1:11" x14ac:dyDescent="0.3">
      <c r="A65" s="5" t="s">
        <v>58</v>
      </c>
      <c r="B65" s="9">
        <v>1774</v>
      </c>
      <c r="C65" s="9"/>
      <c r="D65" s="9">
        <v>4000</v>
      </c>
      <c r="E65" s="9"/>
      <c r="F65" s="9">
        <v>2200</v>
      </c>
      <c r="G65" s="11">
        <f t="shared" si="6"/>
        <v>-2226</v>
      </c>
      <c r="H65" s="12">
        <f t="shared" si="7"/>
        <v>-55.65</v>
      </c>
      <c r="I65" s="9">
        <v>2200</v>
      </c>
    </row>
    <row r="66" spans="1:11" x14ac:dyDescent="0.3">
      <c r="A66" s="5" t="s">
        <v>59</v>
      </c>
      <c r="B66" s="9">
        <v>41143.370000000003</v>
      </c>
      <c r="C66" s="9"/>
      <c r="D66" s="9">
        <v>35000</v>
      </c>
      <c r="E66" s="9"/>
      <c r="F66" s="9">
        <v>42000</v>
      </c>
      <c r="G66" s="11">
        <f t="shared" si="6"/>
        <v>6143.3700000000026</v>
      </c>
      <c r="H66" s="12">
        <f t="shared" si="7"/>
        <v>17.552485714285719</v>
      </c>
      <c r="I66" s="9">
        <v>42000</v>
      </c>
    </row>
    <row r="67" spans="1:11" x14ac:dyDescent="0.3">
      <c r="A67" s="5" t="s">
        <v>60</v>
      </c>
      <c r="B67" s="9">
        <v>95.57</v>
      </c>
      <c r="C67" s="9"/>
      <c r="D67" s="9">
        <v>50</v>
      </c>
      <c r="E67" s="9"/>
      <c r="F67" s="9">
        <v>100</v>
      </c>
      <c r="G67" s="11">
        <f t="shared" si="6"/>
        <v>45.569999999999993</v>
      </c>
      <c r="H67" s="12">
        <f t="shared" si="7"/>
        <v>91.139999999999986</v>
      </c>
      <c r="I67" s="9">
        <v>100</v>
      </c>
    </row>
    <row r="68" spans="1:11" x14ac:dyDescent="0.3">
      <c r="A68" s="5" t="s">
        <v>61</v>
      </c>
      <c r="B68" s="9">
        <v>3850</v>
      </c>
      <c r="C68" s="9"/>
      <c r="D68" s="9">
        <v>2500</v>
      </c>
      <c r="E68" s="9"/>
      <c r="F68" s="9">
        <f>+[1]breakdown!L16</f>
        <v>5400</v>
      </c>
      <c r="G68" s="11">
        <f t="shared" si="6"/>
        <v>1350</v>
      </c>
      <c r="H68" s="12">
        <f t="shared" si="7"/>
        <v>54</v>
      </c>
      <c r="I68" s="9">
        <v>5400</v>
      </c>
      <c r="K68" s="26"/>
    </row>
    <row r="69" spans="1:11" x14ac:dyDescent="0.3">
      <c r="A69" s="5" t="s">
        <v>62</v>
      </c>
      <c r="B69" s="9">
        <v>85</v>
      </c>
      <c r="C69" s="9"/>
      <c r="D69" s="9">
        <v>500</v>
      </c>
      <c r="E69" s="9"/>
      <c r="F69" s="9">
        <v>250</v>
      </c>
      <c r="G69" s="11">
        <f t="shared" si="6"/>
        <v>-415</v>
      </c>
      <c r="H69" s="12">
        <f t="shared" si="7"/>
        <v>-83</v>
      </c>
      <c r="I69" s="9">
        <v>250</v>
      </c>
    </row>
    <row r="70" spans="1:11" x14ac:dyDescent="0.3">
      <c r="A70" s="5" t="s">
        <v>112</v>
      </c>
      <c r="B70" s="9">
        <v>8500</v>
      </c>
      <c r="C70" s="9"/>
      <c r="D70" s="9">
        <v>8500</v>
      </c>
      <c r="E70" s="9"/>
      <c r="F70" s="9">
        <v>11000</v>
      </c>
      <c r="G70" s="11">
        <f t="shared" si="6"/>
        <v>0</v>
      </c>
      <c r="H70" s="12">
        <f t="shared" si="7"/>
        <v>0</v>
      </c>
      <c r="I70" s="9">
        <v>11000</v>
      </c>
    </row>
    <row r="71" spans="1:11" x14ac:dyDescent="0.3">
      <c r="A71" s="5" t="s">
        <v>63</v>
      </c>
      <c r="B71" s="9">
        <v>69</v>
      </c>
      <c r="C71" s="9"/>
      <c r="D71" s="9">
        <f>5.75*12</f>
        <v>69</v>
      </c>
      <c r="E71" s="9"/>
      <c r="F71" s="9">
        <v>100</v>
      </c>
      <c r="G71" s="11">
        <f t="shared" si="6"/>
        <v>0</v>
      </c>
      <c r="H71" s="12">
        <f t="shared" si="7"/>
        <v>0</v>
      </c>
      <c r="I71" s="9">
        <v>100</v>
      </c>
    </row>
    <row r="72" spans="1:11" x14ac:dyDescent="0.3">
      <c r="A72" s="5" t="s">
        <v>64</v>
      </c>
      <c r="B72" s="9">
        <v>2005.58</v>
      </c>
      <c r="C72" s="9"/>
      <c r="D72" s="9">
        <v>2100</v>
      </c>
      <c r="E72" s="9"/>
      <c r="F72" s="9">
        <v>2100</v>
      </c>
      <c r="G72" s="11">
        <f t="shared" si="6"/>
        <v>-94.420000000000073</v>
      </c>
      <c r="H72" s="12">
        <f t="shared" si="7"/>
        <v>-4.4961904761904794</v>
      </c>
      <c r="I72" s="9">
        <v>2100</v>
      </c>
    </row>
    <row r="73" spans="1:11" x14ac:dyDescent="0.3">
      <c r="A73" s="1" t="s">
        <v>65</v>
      </c>
      <c r="B73" s="15">
        <f>SUBTOTAL(9,B57:B72)</f>
        <v>95072.040000000023</v>
      </c>
      <c r="C73" s="9"/>
      <c r="D73" s="15">
        <f>SUBTOTAL(9,D57:D72)</f>
        <v>90400.15</v>
      </c>
      <c r="E73" s="9"/>
      <c r="F73" s="15">
        <f>SUBTOTAL(9,F59:F72)</f>
        <v>85036.53349999999</v>
      </c>
      <c r="G73" s="15">
        <f t="shared" ref="G73:I73" si="8">SUBTOTAL(9,G59:G72)</f>
        <v>4671.8900000000031</v>
      </c>
      <c r="H73" s="15" t="e">
        <f t="shared" si="8"/>
        <v>#DIV/0!</v>
      </c>
      <c r="I73" s="15">
        <f t="shared" si="8"/>
        <v>85498.847750000001</v>
      </c>
    </row>
    <row r="74" spans="1:11" x14ac:dyDescent="0.3">
      <c r="B74" s="18"/>
      <c r="C74" s="18"/>
      <c r="D74" s="18"/>
      <c r="E74" s="18"/>
      <c r="F74" s="18"/>
      <c r="G74" s="19"/>
      <c r="H74" s="27"/>
      <c r="I74" s="18"/>
    </row>
    <row r="75" spans="1:11" x14ac:dyDescent="0.3">
      <c r="A75" s="2" t="s">
        <v>66</v>
      </c>
      <c r="B75" s="22">
        <f>SUBTOTAL(9,B29:B73)</f>
        <v>396303.51</v>
      </c>
      <c r="C75" s="28"/>
      <c r="D75" s="22">
        <f>SUBTOTAL(9,D29:D73)</f>
        <v>400260.15</v>
      </c>
      <c r="E75" s="29"/>
      <c r="F75" s="22">
        <f>SUBTOTAL(9,F29:F73)</f>
        <v>445906.59350000002</v>
      </c>
      <c r="G75" s="22">
        <f t="shared" ref="G75:H75" si="9">SUBTOTAL(9,G29:G73)</f>
        <v>-12585.170000000004</v>
      </c>
      <c r="H75" s="22" t="e">
        <f t="shared" si="9"/>
        <v>#DIV/0!</v>
      </c>
      <c r="I75" s="22">
        <f>+I73+I56+I51+I46+I39</f>
        <v>446368.90775000001</v>
      </c>
    </row>
    <row r="76" spans="1:11" x14ac:dyDescent="0.3">
      <c r="A76" s="25"/>
      <c r="B76" s="31"/>
      <c r="C76" s="31"/>
      <c r="D76" s="31"/>
      <c r="E76" s="32"/>
      <c r="F76" s="32"/>
      <c r="G76" s="33"/>
      <c r="H76" s="34"/>
      <c r="I76" s="32"/>
    </row>
    <row r="77" spans="1:11" ht="18" thickBot="1" x14ac:dyDescent="0.35">
      <c r="A77" s="35" t="s">
        <v>67</v>
      </c>
      <c r="B77" s="36">
        <f>(B26-B75)</f>
        <v>-174.9199999999837</v>
      </c>
      <c r="C77" s="37"/>
      <c r="D77" s="36">
        <f>(D26-D75)</f>
        <v>9599.8499999999767</v>
      </c>
      <c r="E77" s="29"/>
      <c r="F77" s="36">
        <f>(F26-F75)</f>
        <v>-13846.093500000017</v>
      </c>
      <c r="G77" s="38">
        <f>+B77-D77</f>
        <v>-9774.7699999999604</v>
      </c>
      <c r="H77" s="30">
        <f>(G77/D77)*100</f>
        <v>-101.8221118038301</v>
      </c>
      <c r="I77" s="36">
        <f>+I26-I75</f>
        <v>2814.342249999987</v>
      </c>
    </row>
    <row r="78" spans="1:11" ht="18" thickTop="1" x14ac:dyDescent="0.3"/>
  </sheetData>
  <mergeCells count="1">
    <mergeCell ref="G6:H6"/>
  </mergeCells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7476-C2B6-4845-BE51-AA34520D3C30}">
  <sheetPr>
    <pageSetUpPr fitToPage="1"/>
  </sheetPr>
  <dimension ref="A3:V46"/>
  <sheetViews>
    <sheetView tabSelected="1" workbookViewId="0">
      <selection activeCell="P21" sqref="P21:T29"/>
    </sheetView>
  </sheetViews>
  <sheetFormatPr defaultRowHeight="14.4" x14ac:dyDescent="0.3"/>
  <cols>
    <col min="1" max="1" width="14.88671875" customWidth="1"/>
    <col min="2" max="2" width="11.44140625" bestFit="1" customWidth="1"/>
    <col min="4" max="4" width="17.88671875" customWidth="1"/>
    <col min="5" max="5" width="9.109375" bestFit="1" customWidth="1"/>
    <col min="6" max="6" width="12.109375" bestFit="1" customWidth="1"/>
    <col min="7" max="7" width="11.88671875" bestFit="1" customWidth="1"/>
    <col min="8" max="8" width="11.5546875" customWidth="1"/>
    <col min="9" max="9" width="9.109375" bestFit="1" customWidth="1"/>
    <col min="10" max="10" width="10.77734375" customWidth="1"/>
    <col min="11" max="11" width="15.109375" bestFit="1" customWidth="1"/>
    <col min="12" max="12" width="9.109375" bestFit="1" customWidth="1"/>
    <col min="13" max="13" width="11.77734375" bestFit="1" customWidth="1"/>
    <col min="14" max="15" width="9.88671875" bestFit="1" customWidth="1"/>
    <col min="16" max="16" width="10.88671875" bestFit="1" customWidth="1"/>
    <col min="17" max="17" width="11.88671875" customWidth="1"/>
    <col min="18" max="18" width="10.88671875" hidden="1" customWidth="1"/>
    <col min="19" max="19" width="12.21875" customWidth="1"/>
    <col min="20" max="20" width="11.88671875" bestFit="1" customWidth="1"/>
    <col min="22" max="22" width="9.77734375" customWidth="1"/>
    <col min="256" max="256" width="14.88671875" customWidth="1"/>
    <col min="257" max="257" width="11.44140625" bestFit="1" customWidth="1"/>
    <col min="259" max="259" width="17.88671875" customWidth="1"/>
    <col min="260" max="260" width="9.109375" bestFit="1" customWidth="1"/>
    <col min="261" max="261" width="12.109375" bestFit="1" customWidth="1"/>
    <col min="262" max="262" width="11.88671875" bestFit="1" customWidth="1"/>
    <col min="263" max="265" width="9.109375" bestFit="1" customWidth="1"/>
    <col min="266" max="266" width="15.109375" bestFit="1" customWidth="1"/>
    <col min="267" max="267" width="9.109375" bestFit="1" customWidth="1"/>
    <col min="268" max="268" width="11.77734375" bestFit="1" customWidth="1"/>
    <col min="269" max="270" width="9.88671875" bestFit="1" customWidth="1"/>
    <col min="271" max="271" width="10.88671875" bestFit="1" customWidth="1"/>
    <col min="272" max="272" width="11.88671875" customWidth="1"/>
    <col min="273" max="273" width="0" hidden="1" customWidth="1"/>
    <col min="274" max="274" width="12.21875" customWidth="1"/>
    <col min="275" max="275" width="11.88671875" bestFit="1" customWidth="1"/>
    <col min="277" max="277" width="9.77734375" customWidth="1"/>
    <col min="512" max="512" width="14.88671875" customWidth="1"/>
    <col min="513" max="513" width="11.44140625" bestFit="1" customWidth="1"/>
    <col min="515" max="515" width="17.88671875" customWidth="1"/>
    <col min="516" max="516" width="9.109375" bestFit="1" customWidth="1"/>
    <col min="517" max="517" width="12.109375" bestFit="1" customWidth="1"/>
    <col min="518" max="518" width="11.88671875" bestFit="1" customWidth="1"/>
    <col min="519" max="521" width="9.109375" bestFit="1" customWidth="1"/>
    <col min="522" max="522" width="15.109375" bestFit="1" customWidth="1"/>
    <col min="523" max="523" width="9.109375" bestFit="1" customWidth="1"/>
    <col min="524" max="524" width="11.77734375" bestFit="1" customWidth="1"/>
    <col min="525" max="526" width="9.88671875" bestFit="1" customWidth="1"/>
    <col min="527" max="527" width="10.88671875" bestFit="1" customWidth="1"/>
    <col min="528" max="528" width="11.88671875" customWidth="1"/>
    <col min="529" max="529" width="0" hidden="1" customWidth="1"/>
    <col min="530" max="530" width="12.21875" customWidth="1"/>
    <col min="531" max="531" width="11.88671875" bestFit="1" customWidth="1"/>
    <col min="533" max="533" width="9.77734375" customWidth="1"/>
    <col min="768" max="768" width="14.88671875" customWidth="1"/>
    <col min="769" max="769" width="11.44140625" bestFit="1" customWidth="1"/>
    <col min="771" max="771" width="17.88671875" customWidth="1"/>
    <col min="772" max="772" width="9.109375" bestFit="1" customWidth="1"/>
    <col min="773" max="773" width="12.109375" bestFit="1" customWidth="1"/>
    <col min="774" max="774" width="11.88671875" bestFit="1" customWidth="1"/>
    <col min="775" max="777" width="9.109375" bestFit="1" customWidth="1"/>
    <col min="778" max="778" width="15.109375" bestFit="1" customWidth="1"/>
    <col min="779" max="779" width="9.109375" bestFit="1" customWidth="1"/>
    <col min="780" max="780" width="11.77734375" bestFit="1" customWidth="1"/>
    <col min="781" max="782" width="9.88671875" bestFit="1" customWidth="1"/>
    <col min="783" max="783" width="10.88671875" bestFit="1" customWidth="1"/>
    <col min="784" max="784" width="11.88671875" customWidth="1"/>
    <col min="785" max="785" width="0" hidden="1" customWidth="1"/>
    <col min="786" max="786" width="12.21875" customWidth="1"/>
    <col min="787" max="787" width="11.88671875" bestFit="1" customWidth="1"/>
    <col min="789" max="789" width="9.77734375" customWidth="1"/>
    <col min="1024" max="1024" width="14.88671875" customWidth="1"/>
    <col min="1025" max="1025" width="11.44140625" bestFit="1" customWidth="1"/>
    <col min="1027" max="1027" width="17.88671875" customWidth="1"/>
    <col min="1028" max="1028" width="9.109375" bestFit="1" customWidth="1"/>
    <col min="1029" max="1029" width="12.109375" bestFit="1" customWidth="1"/>
    <col min="1030" max="1030" width="11.88671875" bestFit="1" customWidth="1"/>
    <col min="1031" max="1033" width="9.109375" bestFit="1" customWidth="1"/>
    <col min="1034" max="1034" width="15.109375" bestFit="1" customWidth="1"/>
    <col min="1035" max="1035" width="9.109375" bestFit="1" customWidth="1"/>
    <col min="1036" max="1036" width="11.77734375" bestFit="1" customWidth="1"/>
    <col min="1037" max="1038" width="9.88671875" bestFit="1" customWidth="1"/>
    <col min="1039" max="1039" width="10.88671875" bestFit="1" customWidth="1"/>
    <col min="1040" max="1040" width="11.88671875" customWidth="1"/>
    <col min="1041" max="1041" width="0" hidden="1" customWidth="1"/>
    <col min="1042" max="1042" width="12.21875" customWidth="1"/>
    <col min="1043" max="1043" width="11.88671875" bestFit="1" customWidth="1"/>
    <col min="1045" max="1045" width="9.77734375" customWidth="1"/>
    <col min="1280" max="1280" width="14.88671875" customWidth="1"/>
    <col min="1281" max="1281" width="11.44140625" bestFit="1" customWidth="1"/>
    <col min="1283" max="1283" width="17.88671875" customWidth="1"/>
    <col min="1284" max="1284" width="9.109375" bestFit="1" customWidth="1"/>
    <col min="1285" max="1285" width="12.109375" bestFit="1" customWidth="1"/>
    <col min="1286" max="1286" width="11.88671875" bestFit="1" customWidth="1"/>
    <col min="1287" max="1289" width="9.109375" bestFit="1" customWidth="1"/>
    <col min="1290" max="1290" width="15.109375" bestFit="1" customWidth="1"/>
    <col min="1291" max="1291" width="9.109375" bestFit="1" customWidth="1"/>
    <col min="1292" max="1292" width="11.77734375" bestFit="1" customWidth="1"/>
    <col min="1293" max="1294" width="9.88671875" bestFit="1" customWidth="1"/>
    <col min="1295" max="1295" width="10.88671875" bestFit="1" customWidth="1"/>
    <col min="1296" max="1296" width="11.88671875" customWidth="1"/>
    <col min="1297" max="1297" width="0" hidden="1" customWidth="1"/>
    <col min="1298" max="1298" width="12.21875" customWidth="1"/>
    <col min="1299" max="1299" width="11.88671875" bestFit="1" customWidth="1"/>
    <col min="1301" max="1301" width="9.77734375" customWidth="1"/>
    <col min="1536" max="1536" width="14.88671875" customWidth="1"/>
    <col min="1537" max="1537" width="11.44140625" bestFit="1" customWidth="1"/>
    <col min="1539" max="1539" width="17.88671875" customWidth="1"/>
    <col min="1540" max="1540" width="9.109375" bestFit="1" customWidth="1"/>
    <col min="1541" max="1541" width="12.109375" bestFit="1" customWidth="1"/>
    <col min="1542" max="1542" width="11.88671875" bestFit="1" customWidth="1"/>
    <col min="1543" max="1545" width="9.109375" bestFit="1" customWidth="1"/>
    <col min="1546" max="1546" width="15.109375" bestFit="1" customWidth="1"/>
    <col min="1547" max="1547" width="9.109375" bestFit="1" customWidth="1"/>
    <col min="1548" max="1548" width="11.77734375" bestFit="1" customWidth="1"/>
    <col min="1549" max="1550" width="9.88671875" bestFit="1" customWidth="1"/>
    <col min="1551" max="1551" width="10.88671875" bestFit="1" customWidth="1"/>
    <col min="1552" max="1552" width="11.88671875" customWidth="1"/>
    <col min="1553" max="1553" width="0" hidden="1" customWidth="1"/>
    <col min="1554" max="1554" width="12.21875" customWidth="1"/>
    <col min="1555" max="1555" width="11.88671875" bestFit="1" customWidth="1"/>
    <col min="1557" max="1557" width="9.77734375" customWidth="1"/>
    <col min="1792" max="1792" width="14.88671875" customWidth="1"/>
    <col min="1793" max="1793" width="11.44140625" bestFit="1" customWidth="1"/>
    <col min="1795" max="1795" width="17.88671875" customWidth="1"/>
    <col min="1796" max="1796" width="9.109375" bestFit="1" customWidth="1"/>
    <col min="1797" max="1797" width="12.109375" bestFit="1" customWidth="1"/>
    <col min="1798" max="1798" width="11.88671875" bestFit="1" customWidth="1"/>
    <col min="1799" max="1801" width="9.109375" bestFit="1" customWidth="1"/>
    <col min="1802" max="1802" width="15.109375" bestFit="1" customWidth="1"/>
    <col min="1803" max="1803" width="9.109375" bestFit="1" customWidth="1"/>
    <col min="1804" max="1804" width="11.77734375" bestFit="1" customWidth="1"/>
    <col min="1805" max="1806" width="9.88671875" bestFit="1" customWidth="1"/>
    <col min="1807" max="1807" width="10.88671875" bestFit="1" customWidth="1"/>
    <col min="1808" max="1808" width="11.88671875" customWidth="1"/>
    <col min="1809" max="1809" width="0" hidden="1" customWidth="1"/>
    <col min="1810" max="1810" width="12.21875" customWidth="1"/>
    <col min="1811" max="1811" width="11.88671875" bestFit="1" customWidth="1"/>
    <col min="1813" max="1813" width="9.77734375" customWidth="1"/>
    <col min="2048" max="2048" width="14.88671875" customWidth="1"/>
    <col min="2049" max="2049" width="11.44140625" bestFit="1" customWidth="1"/>
    <col min="2051" max="2051" width="17.88671875" customWidth="1"/>
    <col min="2052" max="2052" width="9.109375" bestFit="1" customWidth="1"/>
    <col min="2053" max="2053" width="12.109375" bestFit="1" customWidth="1"/>
    <col min="2054" max="2054" width="11.88671875" bestFit="1" customWidth="1"/>
    <col min="2055" max="2057" width="9.109375" bestFit="1" customWidth="1"/>
    <col min="2058" max="2058" width="15.109375" bestFit="1" customWidth="1"/>
    <col min="2059" max="2059" width="9.109375" bestFit="1" customWidth="1"/>
    <col min="2060" max="2060" width="11.77734375" bestFit="1" customWidth="1"/>
    <col min="2061" max="2062" width="9.88671875" bestFit="1" customWidth="1"/>
    <col min="2063" max="2063" width="10.88671875" bestFit="1" customWidth="1"/>
    <col min="2064" max="2064" width="11.88671875" customWidth="1"/>
    <col min="2065" max="2065" width="0" hidden="1" customWidth="1"/>
    <col min="2066" max="2066" width="12.21875" customWidth="1"/>
    <col min="2067" max="2067" width="11.88671875" bestFit="1" customWidth="1"/>
    <col min="2069" max="2069" width="9.77734375" customWidth="1"/>
    <col min="2304" max="2304" width="14.88671875" customWidth="1"/>
    <col min="2305" max="2305" width="11.44140625" bestFit="1" customWidth="1"/>
    <col min="2307" max="2307" width="17.88671875" customWidth="1"/>
    <col min="2308" max="2308" width="9.109375" bestFit="1" customWidth="1"/>
    <col min="2309" max="2309" width="12.109375" bestFit="1" customWidth="1"/>
    <col min="2310" max="2310" width="11.88671875" bestFit="1" customWidth="1"/>
    <col min="2311" max="2313" width="9.109375" bestFit="1" customWidth="1"/>
    <col min="2314" max="2314" width="15.109375" bestFit="1" customWidth="1"/>
    <col min="2315" max="2315" width="9.109375" bestFit="1" customWidth="1"/>
    <col min="2316" max="2316" width="11.77734375" bestFit="1" customWidth="1"/>
    <col min="2317" max="2318" width="9.88671875" bestFit="1" customWidth="1"/>
    <col min="2319" max="2319" width="10.88671875" bestFit="1" customWidth="1"/>
    <col min="2320" max="2320" width="11.88671875" customWidth="1"/>
    <col min="2321" max="2321" width="0" hidden="1" customWidth="1"/>
    <col min="2322" max="2322" width="12.21875" customWidth="1"/>
    <col min="2323" max="2323" width="11.88671875" bestFit="1" customWidth="1"/>
    <col min="2325" max="2325" width="9.77734375" customWidth="1"/>
    <col min="2560" max="2560" width="14.88671875" customWidth="1"/>
    <col min="2561" max="2561" width="11.44140625" bestFit="1" customWidth="1"/>
    <col min="2563" max="2563" width="17.88671875" customWidth="1"/>
    <col min="2564" max="2564" width="9.109375" bestFit="1" customWidth="1"/>
    <col min="2565" max="2565" width="12.109375" bestFit="1" customWidth="1"/>
    <col min="2566" max="2566" width="11.88671875" bestFit="1" customWidth="1"/>
    <col min="2567" max="2569" width="9.109375" bestFit="1" customWidth="1"/>
    <col min="2570" max="2570" width="15.109375" bestFit="1" customWidth="1"/>
    <col min="2571" max="2571" width="9.109375" bestFit="1" customWidth="1"/>
    <col min="2572" max="2572" width="11.77734375" bestFit="1" customWidth="1"/>
    <col min="2573" max="2574" width="9.88671875" bestFit="1" customWidth="1"/>
    <col min="2575" max="2575" width="10.88671875" bestFit="1" customWidth="1"/>
    <col min="2576" max="2576" width="11.88671875" customWidth="1"/>
    <col min="2577" max="2577" width="0" hidden="1" customWidth="1"/>
    <col min="2578" max="2578" width="12.21875" customWidth="1"/>
    <col min="2579" max="2579" width="11.88671875" bestFit="1" customWidth="1"/>
    <col min="2581" max="2581" width="9.77734375" customWidth="1"/>
    <col min="2816" max="2816" width="14.88671875" customWidth="1"/>
    <col min="2817" max="2817" width="11.44140625" bestFit="1" customWidth="1"/>
    <col min="2819" max="2819" width="17.88671875" customWidth="1"/>
    <col min="2820" max="2820" width="9.109375" bestFit="1" customWidth="1"/>
    <col min="2821" max="2821" width="12.109375" bestFit="1" customWidth="1"/>
    <col min="2822" max="2822" width="11.88671875" bestFit="1" customWidth="1"/>
    <col min="2823" max="2825" width="9.109375" bestFit="1" customWidth="1"/>
    <col min="2826" max="2826" width="15.109375" bestFit="1" customWidth="1"/>
    <col min="2827" max="2827" width="9.109375" bestFit="1" customWidth="1"/>
    <col min="2828" max="2828" width="11.77734375" bestFit="1" customWidth="1"/>
    <col min="2829" max="2830" width="9.88671875" bestFit="1" customWidth="1"/>
    <col min="2831" max="2831" width="10.88671875" bestFit="1" customWidth="1"/>
    <col min="2832" max="2832" width="11.88671875" customWidth="1"/>
    <col min="2833" max="2833" width="0" hidden="1" customWidth="1"/>
    <col min="2834" max="2834" width="12.21875" customWidth="1"/>
    <col min="2835" max="2835" width="11.88671875" bestFit="1" customWidth="1"/>
    <col min="2837" max="2837" width="9.77734375" customWidth="1"/>
    <col min="3072" max="3072" width="14.88671875" customWidth="1"/>
    <col min="3073" max="3073" width="11.44140625" bestFit="1" customWidth="1"/>
    <col min="3075" max="3075" width="17.88671875" customWidth="1"/>
    <col min="3076" max="3076" width="9.109375" bestFit="1" customWidth="1"/>
    <col min="3077" max="3077" width="12.109375" bestFit="1" customWidth="1"/>
    <col min="3078" max="3078" width="11.88671875" bestFit="1" customWidth="1"/>
    <col min="3079" max="3081" width="9.109375" bestFit="1" customWidth="1"/>
    <col min="3082" max="3082" width="15.109375" bestFit="1" customWidth="1"/>
    <col min="3083" max="3083" width="9.109375" bestFit="1" customWidth="1"/>
    <col min="3084" max="3084" width="11.77734375" bestFit="1" customWidth="1"/>
    <col min="3085" max="3086" width="9.88671875" bestFit="1" customWidth="1"/>
    <col min="3087" max="3087" width="10.88671875" bestFit="1" customWidth="1"/>
    <col min="3088" max="3088" width="11.88671875" customWidth="1"/>
    <col min="3089" max="3089" width="0" hidden="1" customWidth="1"/>
    <col min="3090" max="3090" width="12.21875" customWidth="1"/>
    <col min="3091" max="3091" width="11.88671875" bestFit="1" customWidth="1"/>
    <col min="3093" max="3093" width="9.77734375" customWidth="1"/>
    <col min="3328" max="3328" width="14.88671875" customWidth="1"/>
    <col min="3329" max="3329" width="11.44140625" bestFit="1" customWidth="1"/>
    <col min="3331" max="3331" width="17.88671875" customWidth="1"/>
    <col min="3332" max="3332" width="9.109375" bestFit="1" customWidth="1"/>
    <col min="3333" max="3333" width="12.109375" bestFit="1" customWidth="1"/>
    <col min="3334" max="3334" width="11.88671875" bestFit="1" customWidth="1"/>
    <col min="3335" max="3337" width="9.109375" bestFit="1" customWidth="1"/>
    <col min="3338" max="3338" width="15.109375" bestFit="1" customWidth="1"/>
    <col min="3339" max="3339" width="9.109375" bestFit="1" customWidth="1"/>
    <col min="3340" max="3340" width="11.77734375" bestFit="1" customWidth="1"/>
    <col min="3341" max="3342" width="9.88671875" bestFit="1" customWidth="1"/>
    <col min="3343" max="3343" width="10.88671875" bestFit="1" customWidth="1"/>
    <col min="3344" max="3344" width="11.88671875" customWidth="1"/>
    <col min="3345" max="3345" width="0" hidden="1" customWidth="1"/>
    <col min="3346" max="3346" width="12.21875" customWidth="1"/>
    <col min="3347" max="3347" width="11.88671875" bestFit="1" customWidth="1"/>
    <col min="3349" max="3349" width="9.77734375" customWidth="1"/>
    <col min="3584" max="3584" width="14.88671875" customWidth="1"/>
    <col min="3585" max="3585" width="11.44140625" bestFit="1" customWidth="1"/>
    <col min="3587" max="3587" width="17.88671875" customWidth="1"/>
    <col min="3588" max="3588" width="9.109375" bestFit="1" customWidth="1"/>
    <col min="3589" max="3589" width="12.109375" bestFit="1" customWidth="1"/>
    <col min="3590" max="3590" width="11.88671875" bestFit="1" customWidth="1"/>
    <col min="3591" max="3593" width="9.109375" bestFit="1" customWidth="1"/>
    <col min="3594" max="3594" width="15.109375" bestFit="1" customWidth="1"/>
    <col min="3595" max="3595" width="9.109375" bestFit="1" customWidth="1"/>
    <col min="3596" max="3596" width="11.77734375" bestFit="1" customWidth="1"/>
    <col min="3597" max="3598" width="9.88671875" bestFit="1" customWidth="1"/>
    <col min="3599" max="3599" width="10.88671875" bestFit="1" customWidth="1"/>
    <col min="3600" max="3600" width="11.88671875" customWidth="1"/>
    <col min="3601" max="3601" width="0" hidden="1" customWidth="1"/>
    <col min="3602" max="3602" width="12.21875" customWidth="1"/>
    <col min="3603" max="3603" width="11.88671875" bestFit="1" customWidth="1"/>
    <col min="3605" max="3605" width="9.77734375" customWidth="1"/>
    <col min="3840" max="3840" width="14.88671875" customWidth="1"/>
    <col min="3841" max="3841" width="11.44140625" bestFit="1" customWidth="1"/>
    <col min="3843" max="3843" width="17.88671875" customWidth="1"/>
    <col min="3844" max="3844" width="9.109375" bestFit="1" customWidth="1"/>
    <col min="3845" max="3845" width="12.109375" bestFit="1" customWidth="1"/>
    <col min="3846" max="3846" width="11.88671875" bestFit="1" customWidth="1"/>
    <col min="3847" max="3849" width="9.109375" bestFit="1" customWidth="1"/>
    <col min="3850" max="3850" width="15.109375" bestFit="1" customWidth="1"/>
    <col min="3851" max="3851" width="9.109375" bestFit="1" customWidth="1"/>
    <col min="3852" max="3852" width="11.77734375" bestFit="1" customWidth="1"/>
    <col min="3853" max="3854" width="9.88671875" bestFit="1" customWidth="1"/>
    <col min="3855" max="3855" width="10.88671875" bestFit="1" customWidth="1"/>
    <col min="3856" max="3856" width="11.88671875" customWidth="1"/>
    <col min="3857" max="3857" width="0" hidden="1" customWidth="1"/>
    <col min="3858" max="3858" width="12.21875" customWidth="1"/>
    <col min="3859" max="3859" width="11.88671875" bestFit="1" customWidth="1"/>
    <col min="3861" max="3861" width="9.77734375" customWidth="1"/>
    <col min="4096" max="4096" width="14.88671875" customWidth="1"/>
    <col min="4097" max="4097" width="11.44140625" bestFit="1" customWidth="1"/>
    <col min="4099" max="4099" width="17.88671875" customWidth="1"/>
    <col min="4100" max="4100" width="9.109375" bestFit="1" customWidth="1"/>
    <col min="4101" max="4101" width="12.109375" bestFit="1" customWidth="1"/>
    <col min="4102" max="4102" width="11.88671875" bestFit="1" customWidth="1"/>
    <col min="4103" max="4105" width="9.109375" bestFit="1" customWidth="1"/>
    <col min="4106" max="4106" width="15.109375" bestFit="1" customWidth="1"/>
    <col min="4107" max="4107" width="9.109375" bestFit="1" customWidth="1"/>
    <col min="4108" max="4108" width="11.77734375" bestFit="1" customWidth="1"/>
    <col min="4109" max="4110" width="9.88671875" bestFit="1" customWidth="1"/>
    <col min="4111" max="4111" width="10.88671875" bestFit="1" customWidth="1"/>
    <col min="4112" max="4112" width="11.88671875" customWidth="1"/>
    <col min="4113" max="4113" width="0" hidden="1" customWidth="1"/>
    <col min="4114" max="4114" width="12.21875" customWidth="1"/>
    <col min="4115" max="4115" width="11.88671875" bestFit="1" customWidth="1"/>
    <col min="4117" max="4117" width="9.77734375" customWidth="1"/>
    <col min="4352" max="4352" width="14.88671875" customWidth="1"/>
    <col min="4353" max="4353" width="11.44140625" bestFit="1" customWidth="1"/>
    <col min="4355" max="4355" width="17.88671875" customWidth="1"/>
    <col min="4356" max="4356" width="9.109375" bestFit="1" customWidth="1"/>
    <col min="4357" max="4357" width="12.109375" bestFit="1" customWidth="1"/>
    <col min="4358" max="4358" width="11.88671875" bestFit="1" customWidth="1"/>
    <col min="4359" max="4361" width="9.109375" bestFit="1" customWidth="1"/>
    <col min="4362" max="4362" width="15.109375" bestFit="1" customWidth="1"/>
    <col min="4363" max="4363" width="9.109375" bestFit="1" customWidth="1"/>
    <col min="4364" max="4364" width="11.77734375" bestFit="1" customWidth="1"/>
    <col min="4365" max="4366" width="9.88671875" bestFit="1" customWidth="1"/>
    <col min="4367" max="4367" width="10.88671875" bestFit="1" customWidth="1"/>
    <col min="4368" max="4368" width="11.88671875" customWidth="1"/>
    <col min="4369" max="4369" width="0" hidden="1" customWidth="1"/>
    <col min="4370" max="4370" width="12.21875" customWidth="1"/>
    <col min="4371" max="4371" width="11.88671875" bestFit="1" customWidth="1"/>
    <col min="4373" max="4373" width="9.77734375" customWidth="1"/>
    <col min="4608" max="4608" width="14.88671875" customWidth="1"/>
    <col min="4609" max="4609" width="11.44140625" bestFit="1" customWidth="1"/>
    <col min="4611" max="4611" width="17.88671875" customWidth="1"/>
    <col min="4612" max="4612" width="9.109375" bestFit="1" customWidth="1"/>
    <col min="4613" max="4613" width="12.109375" bestFit="1" customWidth="1"/>
    <col min="4614" max="4614" width="11.88671875" bestFit="1" customWidth="1"/>
    <col min="4615" max="4617" width="9.109375" bestFit="1" customWidth="1"/>
    <col min="4618" max="4618" width="15.109375" bestFit="1" customWidth="1"/>
    <col min="4619" max="4619" width="9.109375" bestFit="1" customWidth="1"/>
    <col min="4620" max="4620" width="11.77734375" bestFit="1" customWidth="1"/>
    <col min="4621" max="4622" width="9.88671875" bestFit="1" customWidth="1"/>
    <col min="4623" max="4623" width="10.88671875" bestFit="1" customWidth="1"/>
    <col min="4624" max="4624" width="11.88671875" customWidth="1"/>
    <col min="4625" max="4625" width="0" hidden="1" customWidth="1"/>
    <col min="4626" max="4626" width="12.21875" customWidth="1"/>
    <col min="4627" max="4627" width="11.88671875" bestFit="1" customWidth="1"/>
    <col min="4629" max="4629" width="9.77734375" customWidth="1"/>
    <col min="4864" max="4864" width="14.88671875" customWidth="1"/>
    <col min="4865" max="4865" width="11.44140625" bestFit="1" customWidth="1"/>
    <col min="4867" max="4867" width="17.88671875" customWidth="1"/>
    <col min="4868" max="4868" width="9.109375" bestFit="1" customWidth="1"/>
    <col min="4869" max="4869" width="12.109375" bestFit="1" customWidth="1"/>
    <col min="4870" max="4870" width="11.88671875" bestFit="1" customWidth="1"/>
    <col min="4871" max="4873" width="9.109375" bestFit="1" customWidth="1"/>
    <col min="4874" max="4874" width="15.109375" bestFit="1" customWidth="1"/>
    <col min="4875" max="4875" width="9.109375" bestFit="1" customWidth="1"/>
    <col min="4876" max="4876" width="11.77734375" bestFit="1" customWidth="1"/>
    <col min="4877" max="4878" width="9.88671875" bestFit="1" customWidth="1"/>
    <col min="4879" max="4879" width="10.88671875" bestFit="1" customWidth="1"/>
    <col min="4880" max="4880" width="11.88671875" customWidth="1"/>
    <col min="4881" max="4881" width="0" hidden="1" customWidth="1"/>
    <col min="4882" max="4882" width="12.21875" customWidth="1"/>
    <col min="4883" max="4883" width="11.88671875" bestFit="1" customWidth="1"/>
    <col min="4885" max="4885" width="9.77734375" customWidth="1"/>
    <col min="5120" max="5120" width="14.88671875" customWidth="1"/>
    <col min="5121" max="5121" width="11.44140625" bestFit="1" customWidth="1"/>
    <col min="5123" max="5123" width="17.88671875" customWidth="1"/>
    <col min="5124" max="5124" width="9.109375" bestFit="1" customWidth="1"/>
    <col min="5125" max="5125" width="12.109375" bestFit="1" customWidth="1"/>
    <col min="5126" max="5126" width="11.88671875" bestFit="1" customWidth="1"/>
    <col min="5127" max="5129" width="9.109375" bestFit="1" customWidth="1"/>
    <col min="5130" max="5130" width="15.109375" bestFit="1" customWidth="1"/>
    <col min="5131" max="5131" width="9.109375" bestFit="1" customWidth="1"/>
    <col min="5132" max="5132" width="11.77734375" bestFit="1" customWidth="1"/>
    <col min="5133" max="5134" width="9.88671875" bestFit="1" customWidth="1"/>
    <col min="5135" max="5135" width="10.88671875" bestFit="1" customWidth="1"/>
    <col min="5136" max="5136" width="11.88671875" customWidth="1"/>
    <col min="5137" max="5137" width="0" hidden="1" customWidth="1"/>
    <col min="5138" max="5138" width="12.21875" customWidth="1"/>
    <col min="5139" max="5139" width="11.88671875" bestFit="1" customWidth="1"/>
    <col min="5141" max="5141" width="9.77734375" customWidth="1"/>
    <col min="5376" max="5376" width="14.88671875" customWidth="1"/>
    <col min="5377" max="5377" width="11.44140625" bestFit="1" customWidth="1"/>
    <col min="5379" max="5379" width="17.88671875" customWidth="1"/>
    <col min="5380" max="5380" width="9.109375" bestFit="1" customWidth="1"/>
    <col min="5381" max="5381" width="12.109375" bestFit="1" customWidth="1"/>
    <col min="5382" max="5382" width="11.88671875" bestFit="1" customWidth="1"/>
    <col min="5383" max="5385" width="9.109375" bestFit="1" customWidth="1"/>
    <col min="5386" max="5386" width="15.109375" bestFit="1" customWidth="1"/>
    <col min="5387" max="5387" width="9.109375" bestFit="1" customWidth="1"/>
    <col min="5388" max="5388" width="11.77734375" bestFit="1" customWidth="1"/>
    <col min="5389" max="5390" width="9.88671875" bestFit="1" customWidth="1"/>
    <col min="5391" max="5391" width="10.88671875" bestFit="1" customWidth="1"/>
    <col min="5392" max="5392" width="11.88671875" customWidth="1"/>
    <col min="5393" max="5393" width="0" hidden="1" customWidth="1"/>
    <col min="5394" max="5394" width="12.21875" customWidth="1"/>
    <col min="5395" max="5395" width="11.88671875" bestFit="1" customWidth="1"/>
    <col min="5397" max="5397" width="9.77734375" customWidth="1"/>
    <col min="5632" max="5632" width="14.88671875" customWidth="1"/>
    <col min="5633" max="5633" width="11.44140625" bestFit="1" customWidth="1"/>
    <col min="5635" max="5635" width="17.88671875" customWidth="1"/>
    <col min="5636" max="5636" width="9.109375" bestFit="1" customWidth="1"/>
    <col min="5637" max="5637" width="12.109375" bestFit="1" customWidth="1"/>
    <col min="5638" max="5638" width="11.88671875" bestFit="1" customWidth="1"/>
    <col min="5639" max="5641" width="9.109375" bestFit="1" customWidth="1"/>
    <col min="5642" max="5642" width="15.109375" bestFit="1" customWidth="1"/>
    <col min="5643" max="5643" width="9.109375" bestFit="1" customWidth="1"/>
    <col min="5644" max="5644" width="11.77734375" bestFit="1" customWidth="1"/>
    <col min="5645" max="5646" width="9.88671875" bestFit="1" customWidth="1"/>
    <col min="5647" max="5647" width="10.88671875" bestFit="1" customWidth="1"/>
    <col min="5648" max="5648" width="11.88671875" customWidth="1"/>
    <col min="5649" max="5649" width="0" hidden="1" customWidth="1"/>
    <col min="5650" max="5650" width="12.21875" customWidth="1"/>
    <col min="5651" max="5651" width="11.88671875" bestFit="1" customWidth="1"/>
    <col min="5653" max="5653" width="9.77734375" customWidth="1"/>
    <col min="5888" max="5888" width="14.88671875" customWidth="1"/>
    <col min="5889" max="5889" width="11.44140625" bestFit="1" customWidth="1"/>
    <col min="5891" max="5891" width="17.88671875" customWidth="1"/>
    <col min="5892" max="5892" width="9.109375" bestFit="1" customWidth="1"/>
    <col min="5893" max="5893" width="12.109375" bestFit="1" customWidth="1"/>
    <col min="5894" max="5894" width="11.88671875" bestFit="1" customWidth="1"/>
    <col min="5895" max="5897" width="9.109375" bestFit="1" customWidth="1"/>
    <col min="5898" max="5898" width="15.109375" bestFit="1" customWidth="1"/>
    <col min="5899" max="5899" width="9.109375" bestFit="1" customWidth="1"/>
    <col min="5900" max="5900" width="11.77734375" bestFit="1" customWidth="1"/>
    <col min="5901" max="5902" width="9.88671875" bestFit="1" customWidth="1"/>
    <col min="5903" max="5903" width="10.88671875" bestFit="1" customWidth="1"/>
    <col min="5904" max="5904" width="11.88671875" customWidth="1"/>
    <col min="5905" max="5905" width="0" hidden="1" customWidth="1"/>
    <col min="5906" max="5906" width="12.21875" customWidth="1"/>
    <col min="5907" max="5907" width="11.88671875" bestFit="1" customWidth="1"/>
    <col min="5909" max="5909" width="9.77734375" customWidth="1"/>
    <col min="6144" max="6144" width="14.88671875" customWidth="1"/>
    <col min="6145" max="6145" width="11.44140625" bestFit="1" customWidth="1"/>
    <col min="6147" max="6147" width="17.88671875" customWidth="1"/>
    <col min="6148" max="6148" width="9.109375" bestFit="1" customWidth="1"/>
    <col min="6149" max="6149" width="12.109375" bestFit="1" customWidth="1"/>
    <col min="6150" max="6150" width="11.88671875" bestFit="1" customWidth="1"/>
    <col min="6151" max="6153" width="9.109375" bestFit="1" customWidth="1"/>
    <col min="6154" max="6154" width="15.109375" bestFit="1" customWidth="1"/>
    <col min="6155" max="6155" width="9.109375" bestFit="1" customWidth="1"/>
    <col min="6156" max="6156" width="11.77734375" bestFit="1" customWidth="1"/>
    <col min="6157" max="6158" width="9.88671875" bestFit="1" customWidth="1"/>
    <col min="6159" max="6159" width="10.88671875" bestFit="1" customWidth="1"/>
    <col min="6160" max="6160" width="11.88671875" customWidth="1"/>
    <col min="6161" max="6161" width="0" hidden="1" customWidth="1"/>
    <col min="6162" max="6162" width="12.21875" customWidth="1"/>
    <col min="6163" max="6163" width="11.88671875" bestFit="1" customWidth="1"/>
    <col min="6165" max="6165" width="9.77734375" customWidth="1"/>
    <col min="6400" max="6400" width="14.88671875" customWidth="1"/>
    <col min="6401" max="6401" width="11.44140625" bestFit="1" customWidth="1"/>
    <col min="6403" max="6403" width="17.88671875" customWidth="1"/>
    <col min="6404" max="6404" width="9.109375" bestFit="1" customWidth="1"/>
    <col min="6405" max="6405" width="12.109375" bestFit="1" customWidth="1"/>
    <col min="6406" max="6406" width="11.88671875" bestFit="1" customWidth="1"/>
    <col min="6407" max="6409" width="9.109375" bestFit="1" customWidth="1"/>
    <col min="6410" max="6410" width="15.109375" bestFit="1" customWidth="1"/>
    <col min="6411" max="6411" width="9.109375" bestFit="1" customWidth="1"/>
    <col min="6412" max="6412" width="11.77734375" bestFit="1" customWidth="1"/>
    <col min="6413" max="6414" width="9.88671875" bestFit="1" customWidth="1"/>
    <col min="6415" max="6415" width="10.88671875" bestFit="1" customWidth="1"/>
    <col min="6416" max="6416" width="11.88671875" customWidth="1"/>
    <col min="6417" max="6417" width="0" hidden="1" customWidth="1"/>
    <col min="6418" max="6418" width="12.21875" customWidth="1"/>
    <col min="6419" max="6419" width="11.88671875" bestFit="1" customWidth="1"/>
    <col min="6421" max="6421" width="9.77734375" customWidth="1"/>
    <col min="6656" max="6656" width="14.88671875" customWidth="1"/>
    <col min="6657" max="6657" width="11.44140625" bestFit="1" customWidth="1"/>
    <col min="6659" max="6659" width="17.88671875" customWidth="1"/>
    <col min="6660" max="6660" width="9.109375" bestFit="1" customWidth="1"/>
    <col min="6661" max="6661" width="12.109375" bestFit="1" customWidth="1"/>
    <col min="6662" max="6662" width="11.88671875" bestFit="1" customWidth="1"/>
    <col min="6663" max="6665" width="9.109375" bestFit="1" customWidth="1"/>
    <col min="6666" max="6666" width="15.109375" bestFit="1" customWidth="1"/>
    <col min="6667" max="6667" width="9.109375" bestFit="1" customWidth="1"/>
    <col min="6668" max="6668" width="11.77734375" bestFit="1" customWidth="1"/>
    <col min="6669" max="6670" width="9.88671875" bestFit="1" customWidth="1"/>
    <col min="6671" max="6671" width="10.88671875" bestFit="1" customWidth="1"/>
    <col min="6672" max="6672" width="11.88671875" customWidth="1"/>
    <col min="6673" max="6673" width="0" hidden="1" customWidth="1"/>
    <col min="6674" max="6674" width="12.21875" customWidth="1"/>
    <col min="6675" max="6675" width="11.88671875" bestFit="1" customWidth="1"/>
    <col min="6677" max="6677" width="9.77734375" customWidth="1"/>
    <col min="6912" max="6912" width="14.88671875" customWidth="1"/>
    <col min="6913" max="6913" width="11.44140625" bestFit="1" customWidth="1"/>
    <col min="6915" max="6915" width="17.88671875" customWidth="1"/>
    <col min="6916" max="6916" width="9.109375" bestFit="1" customWidth="1"/>
    <col min="6917" max="6917" width="12.109375" bestFit="1" customWidth="1"/>
    <col min="6918" max="6918" width="11.88671875" bestFit="1" customWidth="1"/>
    <col min="6919" max="6921" width="9.109375" bestFit="1" customWidth="1"/>
    <col min="6922" max="6922" width="15.109375" bestFit="1" customWidth="1"/>
    <col min="6923" max="6923" width="9.109375" bestFit="1" customWidth="1"/>
    <col min="6924" max="6924" width="11.77734375" bestFit="1" customWidth="1"/>
    <col min="6925" max="6926" width="9.88671875" bestFit="1" customWidth="1"/>
    <col min="6927" max="6927" width="10.88671875" bestFit="1" customWidth="1"/>
    <col min="6928" max="6928" width="11.88671875" customWidth="1"/>
    <col min="6929" max="6929" width="0" hidden="1" customWidth="1"/>
    <col min="6930" max="6930" width="12.21875" customWidth="1"/>
    <col min="6931" max="6931" width="11.88671875" bestFit="1" customWidth="1"/>
    <col min="6933" max="6933" width="9.77734375" customWidth="1"/>
    <col min="7168" max="7168" width="14.88671875" customWidth="1"/>
    <col min="7169" max="7169" width="11.44140625" bestFit="1" customWidth="1"/>
    <col min="7171" max="7171" width="17.88671875" customWidth="1"/>
    <col min="7172" max="7172" width="9.109375" bestFit="1" customWidth="1"/>
    <col min="7173" max="7173" width="12.109375" bestFit="1" customWidth="1"/>
    <col min="7174" max="7174" width="11.88671875" bestFit="1" customWidth="1"/>
    <col min="7175" max="7177" width="9.109375" bestFit="1" customWidth="1"/>
    <col min="7178" max="7178" width="15.109375" bestFit="1" customWidth="1"/>
    <col min="7179" max="7179" width="9.109375" bestFit="1" customWidth="1"/>
    <col min="7180" max="7180" width="11.77734375" bestFit="1" customWidth="1"/>
    <col min="7181" max="7182" width="9.88671875" bestFit="1" customWidth="1"/>
    <col min="7183" max="7183" width="10.88671875" bestFit="1" customWidth="1"/>
    <col min="7184" max="7184" width="11.88671875" customWidth="1"/>
    <col min="7185" max="7185" width="0" hidden="1" customWidth="1"/>
    <col min="7186" max="7186" width="12.21875" customWidth="1"/>
    <col min="7187" max="7187" width="11.88671875" bestFit="1" customWidth="1"/>
    <col min="7189" max="7189" width="9.77734375" customWidth="1"/>
    <col min="7424" max="7424" width="14.88671875" customWidth="1"/>
    <col min="7425" max="7425" width="11.44140625" bestFit="1" customWidth="1"/>
    <col min="7427" max="7427" width="17.88671875" customWidth="1"/>
    <col min="7428" max="7428" width="9.109375" bestFit="1" customWidth="1"/>
    <col min="7429" max="7429" width="12.109375" bestFit="1" customWidth="1"/>
    <col min="7430" max="7430" width="11.88671875" bestFit="1" customWidth="1"/>
    <col min="7431" max="7433" width="9.109375" bestFit="1" customWidth="1"/>
    <col min="7434" max="7434" width="15.109375" bestFit="1" customWidth="1"/>
    <col min="7435" max="7435" width="9.109375" bestFit="1" customWidth="1"/>
    <col min="7436" max="7436" width="11.77734375" bestFit="1" customWidth="1"/>
    <col min="7437" max="7438" width="9.88671875" bestFit="1" customWidth="1"/>
    <col min="7439" max="7439" width="10.88671875" bestFit="1" customWidth="1"/>
    <col min="7440" max="7440" width="11.88671875" customWidth="1"/>
    <col min="7441" max="7441" width="0" hidden="1" customWidth="1"/>
    <col min="7442" max="7442" width="12.21875" customWidth="1"/>
    <col min="7443" max="7443" width="11.88671875" bestFit="1" customWidth="1"/>
    <col min="7445" max="7445" width="9.77734375" customWidth="1"/>
    <col min="7680" max="7680" width="14.88671875" customWidth="1"/>
    <col min="7681" max="7681" width="11.44140625" bestFit="1" customWidth="1"/>
    <col min="7683" max="7683" width="17.88671875" customWidth="1"/>
    <col min="7684" max="7684" width="9.109375" bestFit="1" customWidth="1"/>
    <col min="7685" max="7685" width="12.109375" bestFit="1" customWidth="1"/>
    <col min="7686" max="7686" width="11.88671875" bestFit="1" customWidth="1"/>
    <col min="7687" max="7689" width="9.109375" bestFit="1" customWidth="1"/>
    <col min="7690" max="7690" width="15.109375" bestFit="1" customWidth="1"/>
    <col min="7691" max="7691" width="9.109375" bestFit="1" customWidth="1"/>
    <col min="7692" max="7692" width="11.77734375" bestFit="1" customWidth="1"/>
    <col min="7693" max="7694" width="9.88671875" bestFit="1" customWidth="1"/>
    <col min="7695" max="7695" width="10.88671875" bestFit="1" customWidth="1"/>
    <col min="7696" max="7696" width="11.88671875" customWidth="1"/>
    <col min="7697" max="7697" width="0" hidden="1" customWidth="1"/>
    <col min="7698" max="7698" width="12.21875" customWidth="1"/>
    <col min="7699" max="7699" width="11.88671875" bestFit="1" customWidth="1"/>
    <col min="7701" max="7701" width="9.77734375" customWidth="1"/>
    <col min="7936" max="7936" width="14.88671875" customWidth="1"/>
    <col min="7937" max="7937" width="11.44140625" bestFit="1" customWidth="1"/>
    <col min="7939" max="7939" width="17.88671875" customWidth="1"/>
    <col min="7940" max="7940" width="9.109375" bestFit="1" customWidth="1"/>
    <col min="7941" max="7941" width="12.109375" bestFit="1" customWidth="1"/>
    <col min="7942" max="7942" width="11.88671875" bestFit="1" customWidth="1"/>
    <col min="7943" max="7945" width="9.109375" bestFit="1" customWidth="1"/>
    <col min="7946" max="7946" width="15.109375" bestFit="1" customWidth="1"/>
    <col min="7947" max="7947" width="9.109375" bestFit="1" customWidth="1"/>
    <col min="7948" max="7948" width="11.77734375" bestFit="1" customWidth="1"/>
    <col min="7949" max="7950" width="9.88671875" bestFit="1" customWidth="1"/>
    <col min="7951" max="7951" width="10.88671875" bestFit="1" customWidth="1"/>
    <col min="7952" max="7952" width="11.88671875" customWidth="1"/>
    <col min="7953" max="7953" width="0" hidden="1" customWidth="1"/>
    <col min="7954" max="7954" width="12.21875" customWidth="1"/>
    <col min="7955" max="7955" width="11.88671875" bestFit="1" customWidth="1"/>
    <col min="7957" max="7957" width="9.77734375" customWidth="1"/>
    <col min="8192" max="8192" width="14.88671875" customWidth="1"/>
    <col min="8193" max="8193" width="11.44140625" bestFit="1" customWidth="1"/>
    <col min="8195" max="8195" width="17.88671875" customWidth="1"/>
    <col min="8196" max="8196" width="9.109375" bestFit="1" customWidth="1"/>
    <col min="8197" max="8197" width="12.109375" bestFit="1" customWidth="1"/>
    <col min="8198" max="8198" width="11.88671875" bestFit="1" customWidth="1"/>
    <col min="8199" max="8201" width="9.109375" bestFit="1" customWidth="1"/>
    <col min="8202" max="8202" width="15.109375" bestFit="1" customWidth="1"/>
    <col min="8203" max="8203" width="9.109375" bestFit="1" customWidth="1"/>
    <col min="8204" max="8204" width="11.77734375" bestFit="1" customWidth="1"/>
    <col min="8205" max="8206" width="9.88671875" bestFit="1" customWidth="1"/>
    <col min="8207" max="8207" width="10.88671875" bestFit="1" customWidth="1"/>
    <col min="8208" max="8208" width="11.88671875" customWidth="1"/>
    <col min="8209" max="8209" width="0" hidden="1" customWidth="1"/>
    <col min="8210" max="8210" width="12.21875" customWidth="1"/>
    <col min="8211" max="8211" width="11.88671875" bestFit="1" customWidth="1"/>
    <col min="8213" max="8213" width="9.77734375" customWidth="1"/>
    <col min="8448" max="8448" width="14.88671875" customWidth="1"/>
    <col min="8449" max="8449" width="11.44140625" bestFit="1" customWidth="1"/>
    <col min="8451" max="8451" width="17.88671875" customWidth="1"/>
    <col min="8452" max="8452" width="9.109375" bestFit="1" customWidth="1"/>
    <col min="8453" max="8453" width="12.109375" bestFit="1" customWidth="1"/>
    <col min="8454" max="8454" width="11.88671875" bestFit="1" customWidth="1"/>
    <col min="8455" max="8457" width="9.109375" bestFit="1" customWidth="1"/>
    <col min="8458" max="8458" width="15.109375" bestFit="1" customWidth="1"/>
    <col min="8459" max="8459" width="9.109375" bestFit="1" customWidth="1"/>
    <col min="8460" max="8460" width="11.77734375" bestFit="1" customWidth="1"/>
    <col min="8461" max="8462" width="9.88671875" bestFit="1" customWidth="1"/>
    <col min="8463" max="8463" width="10.88671875" bestFit="1" customWidth="1"/>
    <col min="8464" max="8464" width="11.88671875" customWidth="1"/>
    <col min="8465" max="8465" width="0" hidden="1" customWidth="1"/>
    <col min="8466" max="8466" width="12.21875" customWidth="1"/>
    <col min="8467" max="8467" width="11.88671875" bestFit="1" customWidth="1"/>
    <col min="8469" max="8469" width="9.77734375" customWidth="1"/>
    <col min="8704" max="8704" width="14.88671875" customWidth="1"/>
    <col min="8705" max="8705" width="11.44140625" bestFit="1" customWidth="1"/>
    <col min="8707" max="8707" width="17.88671875" customWidth="1"/>
    <col min="8708" max="8708" width="9.109375" bestFit="1" customWidth="1"/>
    <col min="8709" max="8709" width="12.109375" bestFit="1" customWidth="1"/>
    <col min="8710" max="8710" width="11.88671875" bestFit="1" customWidth="1"/>
    <col min="8711" max="8713" width="9.109375" bestFit="1" customWidth="1"/>
    <col min="8714" max="8714" width="15.109375" bestFit="1" customWidth="1"/>
    <col min="8715" max="8715" width="9.109375" bestFit="1" customWidth="1"/>
    <col min="8716" max="8716" width="11.77734375" bestFit="1" customWidth="1"/>
    <col min="8717" max="8718" width="9.88671875" bestFit="1" customWidth="1"/>
    <col min="8719" max="8719" width="10.88671875" bestFit="1" customWidth="1"/>
    <col min="8720" max="8720" width="11.88671875" customWidth="1"/>
    <col min="8721" max="8721" width="0" hidden="1" customWidth="1"/>
    <col min="8722" max="8722" width="12.21875" customWidth="1"/>
    <col min="8723" max="8723" width="11.88671875" bestFit="1" customWidth="1"/>
    <col min="8725" max="8725" width="9.77734375" customWidth="1"/>
    <col min="8960" max="8960" width="14.88671875" customWidth="1"/>
    <col min="8961" max="8961" width="11.44140625" bestFit="1" customWidth="1"/>
    <col min="8963" max="8963" width="17.88671875" customWidth="1"/>
    <col min="8964" max="8964" width="9.109375" bestFit="1" customWidth="1"/>
    <col min="8965" max="8965" width="12.109375" bestFit="1" customWidth="1"/>
    <col min="8966" max="8966" width="11.88671875" bestFit="1" customWidth="1"/>
    <col min="8967" max="8969" width="9.109375" bestFit="1" customWidth="1"/>
    <col min="8970" max="8970" width="15.109375" bestFit="1" customWidth="1"/>
    <col min="8971" max="8971" width="9.109375" bestFit="1" customWidth="1"/>
    <col min="8972" max="8972" width="11.77734375" bestFit="1" customWidth="1"/>
    <col min="8973" max="8974" width="9.88671875" bestFit="1" customWidth="1"/>
    <col min="8975" max="8975" width="10.88671875" bestFit="1" customWidth="1"/>
    <col min="8976" max="8976" width="11.88671875" customWidth="1"/>
    <col min="8977" max="8977" width="0" hidden="1" customWidth="1"/>
    <col min="8978" max="8978" width="12.21875" customWidth="1"/>
    <col min="8979" max="8979" width="11.88671875" bestFit="1" customWidth="1"/>
    <col min="8981" max="8981" width="9.77734375" customWidth="1"/>
    <col min="9216" max="9216" width="14.88671875" customWidth="1"/>
    <col min="9217" max="9217" width="11.44140625" bestFit="1" customWidth="1"/>
    <col min="9219" max="9219" width="17.88671875" customWidth="1"/>
    <col min="9220" max="9220" width="9.109375" bestFit="1" customWidth="1"/>
    <col min="9221" max="9221" width="12.109375" bestFit="1" customWidth="1"/>
    <col min="9222" max="9222" width="11.88671875" bestFit="1" customWidth="1"/>
    <col min="9223" max="9225" width="9.109375" bestFit="1" customWidth="1"/>
    <col min="9226" max="9226" width="15.109375" bestFit="1" customWidth="1"/>
    <col min="9227" max="9227" width="9.109375" bestFit="1" customWidth="1"/>
    <col min="9228" max="9228" width="11.77734375" bestFit="1" customWidth="1"/>
    <col min="9229" max="9230" width="9.88671875" bestFit="1" customWidth="1"/>
    <col min="9231" max="9231" width="10.88671875" bestFit="1" customWidth="1"/>
    <col min="9232" max="9232" width="11.88671875" customWidth="1"/>
    <col min="9233" max="9233" width="0" hidden="1" customWidth="1"/>
    <col min="9234" max="9234" width="12.21875" customWidth="1"/>
    <col min="9235" max="9235" width="11.88671875" bestFit="1" customWidth="1"/>
    <col min="9237" max="9237" width="9.77734375" customWidth="1"/>
    <col min="9472" max="9472" width="14.88671875" customWidth="1"/>
    <col min="9473" max="9473" width="11.44140625" bestFit="1" customWidth="1"/>
    <col min="9475" max="9475" width="17.88671875" customWidth="1"/>
    <col min="9476" max="9476" width="9.109375" bestFit="1" customWidth="1"/>
    <col min="9477" max="9477" width="12.109375" bestFit="1" customWidth="1"/>
    <col min="9478" max="9478" width="11.88671875" bestFit="1" customWidth="1"/>
    <col min="9479" max="9481" width="9.109375" bestFit="1" customWidth="1"/>
    <col min="9482" max="9482" width="15.109375" bestFit="1" customWidth="1"/>
    <col min="9483" max="9483" width="9.109375" bestFit="1" customWidth="1"/>
    <col min="9484" max="9484" width="11.77734375" bestFit="1" customWidth="1"/>
    <col min="9485" max="9486" width="9.88671875" bestFit="1" customWidth="1"/>
    <col min="9487" max="9487" width="10.88671875" bestFit="1" customWidth="1"/>
    <col min="9488" max="9488" width="11.88671875" customWidth="1"/>
    <col min="9489" max="9489" width="0" hidden="1" customWidth="1"/>
    <col min="9490" max="9490" width="12.21875" customWidth="1"/>
    <col min="9491" max="9491" width="11.88671875" bestFit="1" customWidth="1"/>
    <col min="9493" max="9493" width="9.77734375" customWidth="1"/>
    <col min="9728" max="9728" width="14.88671875" customWidth="1"/>
    <col min="9729" max="9729" width="11.44140625" bestFit="1" customWidth="1"/>
    <col min="9731" max="9731" width="17.88671875" customWidth="1"/>
    <col min="9732" max="9732" width="9.109375" bestFit="1" customWidth="1"/>
    <col min="9733" max="9733" width="12.109375" bestFit="1" customWidth="1"/>
    <col min="9734" max="9734" width="11.88671875" bestFit="1" customWidth="1"/>
    <col min="9735" max="9737" width="9.109375" bestFit="1" customWidth="1"/>
    <col min="9738" max="9738" width="15.109375" bestFit="1" customWidth="1"/>
    <col min="9739" max="9739" width="9.109375" bestFit="1" customWidth="1"/>
    <col min="9740" max="9740" width="11.77734375" bestFit="1" customWidth="1"/>
    <col min="9741" max="9742" width="9.88671875" bestFit="1" customWidth="1"/>
    <col min="9743" max="9743" width="10.88671875" bestFit="1" customWidth="1"/>
    <col min="9744" max="9744" width="11.88671875" customWidth="1"/>
    <col min="9745" max="9745" width="0" hidden="1" customWidth="1"/>
    <col min="9746" max="9746" width="12.21875" customWidth="1"/>
    <col min="9747" max="9747" width="11.88671875" bestFit="1" customWidth="1"/>
    <col min="9749" max="9749" width="9.77734375" customWidth="1"/>
    <col min="9984" max="9984" width="14.88671875" customWidth="1"/>
    <col min="9985" max="9985" width="11.44140625" bestFit="1" customWidth="1"/>
    <col min="9987" max="9987" width="17.88671875" customWidth="1"/>
    <col min="9988" max="9988" width="9.109375" bestFit="1" customWidth="1"/>
    <col min="9989" max="9989" width="12.109375" bestFit="1" customWidth="1"/>
    <col min="9990" max="9990" width="11.88671875" bestFit="1" customWidth="1"/>
    <col min="9991" max="9993" width="9.109375" bestFit="1" customWidth="1"/>
    <col min="9994" max="9994" width="15.109375" bestFit="1" customWidth="1"/>
    <col min="9995" max="9995" width="9.109375" bestFit="1" customWidth="1"/>
    <col min="9996" max="9996" width="11.77734375" bestFit="1" customWidth="1"/>
    <col min="9997" max="9998" width="9.88671875" bestFit="1" customWidth="1"/>
    <col min="9999" max="9999" width="10.88671875" bestFit="1" customWidth="1"/>
    <col min="10000" max="10000" width="11.88671875" customWidth="1"/>
    <col min="10001" max="10001" width="0" hidden="1" customWidth="1"/>
    <col min="10002" max="10002" width="12.21875" customWidth="1"/>
    <col min="10003" max="10003" width="11.88671875" bestFit="1" customWidth="1"/>
    <col min="10005" max="10005" width="9.77734375" customWidth="1"/>
    <col min="10240" max="10240" width="14.88671875" customWidth="1"/>
    <col min="10241" max="10241" width="11.44140625" bestFit="1" customWidth="1"/>
    <col min="10243" max="10243" width="17.88671875" customWidth="1"/>
    <col min="10244" max="10244" width="9.109375" bestFit="1" customWidth="1"/>
    <col min="10245" max="10245" width="12.109375" bestFit="1" customWidth="1"/>
    <col min="10246" max="10246" width="11.88671875" bestFit="1" customWidth="1"/>
    <col min="10247" max="10249" width="9.109375" bestFit="1" customWidth="1"/>
    <col min="10250" max="10250" width="15.109375" bestFit="1" customWidth="1"/>
    <col min="10251" max="10251" width="9.109375" bestFit="1" customWidth="1"/>
    <col min="10252" max="10252" width="11.77734375" bestFit="1" customWidth="1"/>
    <col min="10253" max="10254" width="9.88671875" bestFit="1" customWidth="1"/>
    <col min="10255" max="10255" width="10.88671875" bestFit="1" customWidth="1"/>
    <col min="10256" max="10256" width="11.88671875" customWidth="1"/>
    <col min="10257" max="10257" width="0" hidden="1" customWidth="1"/>
    <col min="10258" max="10258" width="12.21875" customWidth="1"/>
    <col min="10259" max="10259" width="11.88671875" bestFit="1" customWidth="1"/>
    <col min="10261" max="10261" width="9.77734375" customWidth="1"/>
    <col min="10496" max="10496" width="14.88671875" customWidth="1"/>
    <col min="10497" max="10497" width="11.44140625" bestFit="1" customWidth="1"/>
    <col min="10499" max="10499" width="17.88671875" customWidth="1"/>
    <col min="10500" max="10500" width="9.109375" bestFit="1" customWidth="1"/>
    <col min="10501" max="10501" width="12.109375" bestFit="1" customWidth="1"/>
    <col min="10502" max="10502" width="11.88671875" bestFit="1" customWidth="1"/>
    <col min="10503" max="10505" width="9.109375" bestFit="1" customWidth="1"/>
    <col min="10506" max="10506" width="15.109375" bestFit="1" customWidth="1"/>
    <col min="10507" max="10507" width="9.109375" bestFit="1" customWidth="1"/>
    <col min="10508" max="10508" width="11.77734375" bestFit="1" customWidth="1"/>
    <col min="10509" max="10510" width="9.88671875" bestFit="1" customWidth="1"/>
    <col min="10511" max="10511" width="10.88671875" bestFit="1" customWidth="1"/>
    <col min="10512" max="10512" width="11.88671875" customWidth="1"/>
    <col min="10513" max="10513" width="0" hidden="1" customWidth="1"/>
    <col min="10514" max="10514" width="12.21875" customWidth="1"/>
    <col min="10515" max="10515" width="11.88671875" bestFit="1" customWidth="1"/>
    <col min="10517" max="10517" width="9.77734375" customWidth="1"/>
    <col min="10752" max="10752" width="14.88671875" customWidth="1"/>
    <col min="10753" max="10753" width="11.44140625" bestFit="1" customWidth="1"/>
    <col min="10755" max="10755" width="17.88671875" customWidth="1"/>
    <col min="10756" max="10756" width="9.109375" bestFit="1" customWidth="1"/>
    <col min="10757" max="10757" width="12.109375" bestFit="1" customWidth="1"/>
    <col min="10758" max="10758" width="11.88671875" bestFit="1" customWidth="1"/>
    <col min="10759" max="10761" width="9.109375" bestFit="1" customWidth="1"/>
    <col min="10762" max="10762" width="15.109375" bestFit="1" customWidth="1"/>
    <col min="10763" max="10763" width="9.109375" bestFit="1" customWidth="1"/>
    <col min="10764" max="10764" width="11.77734375" bestFit="1" customWidth="1"/>
    <col min="10765" max="10766" width="9.88671875" bestFit="1" customWidth="1"/>
    <col min="10767" max="10767" width="10.88671875" bestFit="1" customWidth="1"/>
    <col min="10768" max="10768" width="11.88671875" customWidth="1"/>
    <col min="10769" max="10769" width="0" hidden="1" customWidth="1"/>
    <col min="10770" max="10770" width="12.21875" customWidth="1"/>
    <col min="10771" max="10771" width="11.88671875" bestFit="1" customWidth="1"/>
    <col min="10773" max="10773" width="9.77734375" customWidth="1"/>
    <col min="11008" max="11008" width="14.88671875" customWidth="1"/>
    <col min="11009" max="11009" width="11.44140625" bestFit="1" customWidth="1"/>
    <col min="11011" max="11011" width="17.88671875" customWidth="1"/>
    <col min="11012" max="11012" width="9.109375" bestFit="1" customWidth="1"/>
    <col min="11013" max="11013" width="12.109375" bestFit="1" customWidth="1"/>
    <col min="11014" max="11014" width="11.88671875" bestFit="1" customWidth="1"/>
    <col min="11015" max="11017" width="9.109375" bestFit="1" customWidth="1"/>
    <col min="11018" max="11018" width="15.109375" bestFit="1" customWidth="1"/>
    <col min="11019" max="11019" width="9.109375" bestFit="1" customWidth="1"/>
    <col min="11020" max="11020" width="11.77734375" bestFit="1" customWidth="1"/>
    <col min="11021" max="11022" width="9.88671875" bestFit="1" customWidth="1"/>
    <col min="11023" max="11023" width="10.88671875" bestFit="1" customWidth="1"/>
    <col min="11024" max="11024" width="11.88671875" customWidth="1"/>
    <col min="11025" max="11025" width="0" hidden="1" customWidth="1"/>
    <col min="11026" max="11026" width="12.21875" customWidth="1"/>
    <col min="11027" max="11027" width="11.88671875" bestFit="1" customWidth="1"/>
    <col min="11029" max="11029" width="9.77734375" customWidth="1"/>
    <col min="11264" max="11264" width="14.88671875" customWidth="1"/>
    <col min="11265" max="11265" width="11.44140625" bestFit="1" customWidth="1"/>
    <col min="11267" max="11267" width="17.88671875" customWidth="1"/>
    <col min="11268" max="11268" width="9.109375" bestFit="1" customWidth="1"/>
    <col min="11269" max="11269" width="12.109375" bestFit="1" customWidth="1"/>
    <col min="11270" max="11270" width="11.88671875" bestFit="1" customWidth="1"/>
    <col min="11271" max="11273" width="9.109375" bestFit="1" customWidth="1"/>
    <col min="11274" max="11274" width="15.109375" bestFit="1" customWidth="1"/>
    <col min="11275" max="11275" width="9.109375" bestFit="1" customWidth="1"/>
    <col min="11276" max="11276" width="11.77734375" bestFit="1" customWidth="1"/>
    <col min="11277" max="11278" width="9.88671875" bestFit="1" customWidth="1"/>
    <col min="11279" max="11279" width="10.88671875" bestFit="1" customWidth="1"/>
    <col min="11280" max="11280" width="11.88671875" customWidth="1"/>
    <col min="11281" max="11281" width="0" hidden="1" customWidth="1"/>
    <col min="11282" max="11282" width="12.21875" customWidth="1"/>
    <col min="11283" max="11283" width="11.88671875" bestFit="1" customWidth="1"/>
    <col min="11285" max="11285" width="9.77734375" customWidth="1"/>
    <col min="11520" max="11520" width="14.88671875" customWidth="1"/>
    <col min="11521" max="11521" width="11.44140625" bestFit="1" customWidth="1"/>
    <col min="11523" max="11523" width="17.88671875" customWidth="1"/>
    <col min="11524" max="11524" width="9.109375" bestFit="1" customWidth="1"/>
    <col min="11525" max="11525" width="12.109375" bestFit="1" customWidth="1"/>
    <col min="11526" max="11526" width="11.88671875" bestFit="1" customWidth="1"/>
    <col min="11527" max="11529" width="9.109375" bestFit="1" customWidth="1"/>
    <col min="11530" max="11530" width="15.109375" bestFit="1" customWidth="1"/>
    <col min="11531" max="11531" width="9.109375" bestFit="1" customWidth="1"/>
    <col min="11532" max="11532" width="11.77734375" bestFit="1" customWidth="1"/>
    <col min="11533" max="11534" width="9.88671875" bestFit="1" customWidth="1"/>
    <col min="11535" max="11535" width="10.88671875" bestFit="1" customWidth="1"/>
    <col min="11536" max="11536" width="11.88671875" customWidth="1"/>
    <col min="11537" max="11537" width="0" hidden="1" customWidth="1"/>
    <col min="11538" max="11538" width="12.21875" customWidth="1"/>
    <col min="11539" max="11539" width="11.88671875" bestFit="1" customWidth="1"/>
    <col min="11541" max="11541" width="9.77734375" customWidth="1"/>
    <col min="11776" max="11776" width="14.88671875" customWidth="1"/>
    <col min="11777" max="11777" width="11.44140625" bestFit="1" customWidth="1"/>
    <col min="11779" max="11779" width="17.88671875" customWidth="1"/>
    <col min="11780" max="11780" width="9.109375" bestFit="1" customWidth="1"/>
    <col min="11781" max="11781" width="12.109375" bestFit="1" customWidth="1"/>
    <col min="11782" max="11782" width="11.88671875" bestFit="1" customWidth="1"/>
    <col min="11783" max="11785" width="9.109375" bestFit="1" customWidth="1"/>
    <col min="11786" max="11786" width="15.109375" bestFit="1" customWidth="1"/>
    <col min="11787" max="11787" width="9.109375" bestFit="1" customWidth="1"/>
    <col min="11788" max="11788" width="11.77734375" bestFit="1" customWidth="1"/>
    <col min="11789" max="11790" width="9.88671875" bestFit="1" customWidth="1"/>
    <col min="11791" max="11791" width="10.88671875" bestFit="1" customWidth="1"/>
    <col min="11792" max="11792" width="11.88671875" customWidth="1"/>
    <col min="11793" max="11793" width="0" hidden="1" customWidth="1"/>
    <col min="11794" max="11794" width="12.21875" customWidth="1"/>
    <col min="11795" max="11795" width="11.88671875" bestFit="1" customWidth="1"/>
    <col min="11797" max="11797" width="9.77734375" customWidth="1"/>
    <col min="12032" max="12032" width="14.88671875" customWidth="1"/>
    <col min="12033" max="12033" width="11.44140625" bestFit="1" customWidth="1"/>
    <col min="12035" max="12035" width="17.88671875" customWidth="1"/>
    <col min="12036" max="12036" width="9.109375" bestFit="1" customWidth="1"/>
    <col min="12037" max="12037" width="12.109375" bestFit="1" customWidth="1"/>
    <col min="12038" max="12038" width="11.88671875" bestFit="1" customWidth="1"/>
    <col min="12039" max="12041" width="9.109375" bestFit="1" customWidth="1"/>
    <col min="12042" max="12042" width="15.109375" bestFit="1" customWidth="1"/>
    <col min="12043" max="12043" width="9.109375" bestFit="1" customWidth="1"/>
    <col min="12044" max="12044" width="11.77734375" bestFit="1" customWidth="1"/>
    <col min="12045" max="12046" width="9.88671875" bestFit="1" customWidth="1"/>
    <col min="12047" max="12047" width="10.88671875" bestFit="1" customWidth="1"/>
    <col min="12048" max="12048" width="11.88671875" customWidth="1"/>
    <col min="12049" max="12049" width="0" hidden="1" customWidth="1"/>
    <col min="12050" max="12050" width="12.21875" customWidth="1"/>
    <col min="12051" max="12051" width="11.88671875" bestFit="1" customWidth="1"/>
    <col min="12053" max="12053" width="9.77734375" customWidth="1"/>
    <col min="12288" max="12288" width="14.88671875" customWidth="1"/>
    <col min="12289" max="12289" width="11.44140625" bestFit="1" customWidth="1"/>
    <col min="12291" max="12291" width="17.88671875" customWidth="1"/>
    <col min="12292" max="12292" width="9.109375" bestFit="1" customWidth="1"/>
    <col min="12293" max="12293" width="12.109375" bestFit="1" customWidth="1"/>
    <col min="12294" max="12294" width="11.88671875" bestFit="1" customWidth="1"/>
    <col min="12295" max="12297" width="9.109375" bestFit="1" customWidth="1"/>
    <col min="12298" max="12298" width="15.109375" bestFit="1" customWidth="1"/>
    <col min="12299" max="12299" width="9.109375" bestFit="1" customWidth="1"/>
    <col min="12300" max="12300" width="11.77734375" bestFit="1" customWidth="1"/>
    <col min="12301" max="12302" width="9.88671875" bestFit="1" customWidth="1"/>
    <col min="12303" max="12303" width="10.88671875" bestFit="1" customWidth="1"/>
    <col min="12304" max="12304" width="11.88671875" customWidth="1"/>
    <col min="12305" max="12305" width="0" hidden="1" customWidth="1"/>
    <col min="12306" max="12306" width="12.21875" customWidth="1"/>
    <col min="12307" max="12307" width="11.88671875" bestFit="1" customWidth="1"/>
    <col min="12309" max="12309" width="9.77734375" customWidth="1"/>
    <col min="12544" max="12544" width="14.88671875" customWidth="1"/>
    <col min="12545" max="12545" width="11.44140625" bestFit="1" customWidth="1"/>
    <col min="12547" max="12547" width="17.88671875" customWidth="1"/>
    <col min="12548" max="12548" width="9.109375" bestFit="1" customWidth="1"/>
    <col min="12549" max="12549" width="12.109375" bestFit="1" customWidth="1"/>
    <col min="12550" max="12550" width="11.88671875" bestFit="1" customWidth="1"/>
    <col min="12551" max="12553" width="9.109375" bestFit="1" customWidth="1"/>
    <col min="12554" max="12554" width="15.109375" bestFit="1" customWidth="1"/>
    <col min="12555" max="12555" width="9.109375" bestFit="1" customWidth="1"/>
    <col min="12556" max="12556" width="11.77734375" bestFit="1" customWidth="1"/>
    <col min="12557" max="12558" width="9.88671875" bestFit="1" customWidth="1"/>
    <col min="12559" max="12559" width="10.88671875" bestFit="1" customWidth="1"/>
    <col min="12560" max="12560" width="11.88671875" customWidth="1"/>
    <col min="12561" max="12561" width="0" hidden="1" customWidth="1"/>
    <col min="12562" max="12562" width="12.21875" customWidth="1"/>
    <col min="12563" max="12563" width="11.88671875" bestFit="1" customWidth="1"/>
    <col min="12565" max="12565" width="9.77734375" customWidth="1"/>
    <col min="12800" max="12800" width="14.88671875" customWidth="1"/>
    <col min="12801" max="12801" width="11.44140625" bestFit="1" customWidth="1"/>
    <col min="12803" max="12803" width="17.88671875" customWidth="1"/>
    <col min="12804" max="12804" width="9.109375" bestFit="1" customWidth="1"/>
    <col min="12805" max="12805" width="12.109375" bestFit="1" customWidth="1"/>
    <col min="12806" max="12806" width="11.88671875" bestFit="1" customWidth="1"/>
    <col min="12807" max="12809" width="9.109375" bestFit="1" customWidth="1"/>
    <col min="12810" max="12810" width="15.109375" bestFit="1" customWidth="1"/>
    <col min="12811" max="12811" width="9.109375" bestFit="1" customWidth="1"/>
    <col min="12812" max="12812" width="11.77734375" bestFit="1" customWidth="1"/>
    <col min="12813" max="12814" width="9.88671875" bestFit="1" customWidth="1"/>
    <col min="12815" max="12815" width="10.88671875" bestFit="1" customWidth="1"/>
    <col min="12816" max="12816" width="11.88671875" customWidth="1"/>
    <col min="12817" max="12817" width="0" hidden="1" customWidth="1"/>
    <col min="12818" max="12818" width="12.21875" customWidth="1"/>
    <col min="12819" max="12819" width="11.88671875" bestFit="1" customWidth="1"/>
    <col min="12821" max="12821" width="9.77734375" customWidth="1"/>
    <col min="13056" max="13056" width="14.88671875" customWidth="1"/>
    <col min="13057" max="13057" width="11.44140625" bestFit="1" customWidth="1"/>
    <col min="13059" max="13059" width="17.88671875" customWidth="1"/>
    <col min="13060" max="13060" width="9.109375" bestFit="1" customWidth="1"/>
    <col min="13061" max="13061" width="12.109375" bestFit="1" customWidth="1"/>
    <col min="13062" max="13062" width="11.88671875" bestFit="1" customWidth="1"/>
    <col min="13063" max="13065" width="9.109375" bestFit="1" customWidth="1"/>
    <col min="13066" max="13066" width="15.109375" bestFit="1" customWidth="1"/>
    <col min="13067" max="13067" width="9.109375" bestFit="1" customWidth="1"/>
    <col min="13068" max="13068" width="11.77734375" bestFit="1" customWidth="1"/>
    <col min="13069" max="13070" width="9.88671875" bestFit="1" customWidth="1"/>
    <col min="13071" max="13071" width="10.88671875" bestFit="1" customWidth="1"/>
    <col min="13072" max="13072" width="11.88671875" customWidth="1"/>
    <col min="13073" max="13073" width="0" hidden="1" customWidth="1"/>
    <col min="13074" max="13074" width="12.21875" customWidth="1"/>
    <col min="13075" max="13075" width="11.88671875" bestFit="1" customWidth="1"/>
    <col min="13077" max="13077" width="9.77734375" customWidth="1"/>
    <col min="13312" max="13312" width="14.88671875" customWidth="1"/>
    <col min="13313" max="13313" width="11.44140625" bestFit="1" customWidth="1"/>
    <col min="13315" max="13315" width="17.88671875" customWidth="1"/>
    <col min="13316" max="13316" width="9.109375" bestFit="1" customWidth="1"/>
    <col min="13317" max="13317" width="12.109375" bestFit="1" customWidth="1"/>
    <col min="13318" max="13318" width="11.88671875" bestFit="1" customWidth="1"/>
    <col min="13319" max="13321" width="9.109375" bestFit="1" customWidth="1"/>
    <col min="13322" max="13322" width="15.109375" bestFit="1" customWidth="1"/>
    <col min="13323" max="13323" width="9.109375" bestFit="1" customWidth="1"/>
    <col min="13324" max="13324" width="11.77734375" bestFit="1" customWidth="1"/>
    <col min="13325" max="13326" width="9.88671875" bestFit="1" customWidth="1"/>
    <col min="13327" max="13327" width="10.88671875" bestFit="1" customWidth="1"/>
    <col min="13328" max="13328" width="11.88671875" customWidth="1"/>
    <col min="13329" max="13329" width="0" hidden="1" customWidth="1"/>
    <col min="13330" max="13330" width="12.21875" customWidth="1"/>
    <col min="13331" max="13331" width="11.88671875" bestFit="1" customWidth="1"/>
    <col min="13333" max="13333" width="9.77734375" customWidth="1"/>
    <col min="13568" max="13568" width="14.88671875" customWidth="1"/>
    <col min="13569" max="13569" width="11.44140625" bestFit="1" customWidth="1"/>
    <col min="13571" max="13571" width="17.88671875" customWidth="1"/>
    <col min="13572" max="13572" width="9.109375" bestFit="1" customWidth="1"/>
    <col min="13573" max="13573" width="12.109375" bestFit="1" customWidth="1"/>
    <col min="13574" max="13574" width="11.88671875" bestFit="1" customWidth="1"/>
    <col min="13575" max="13577" width="9.109375" bestFit="1" customWidth="1"/>
    <col min="13578" max="13578" width="15.109375" bestFit="1" customWidth="1"/>
    <col min="13579" max="13579" width="9.109375" bestFit="1" customWidth="1"/>
    <col min="13580" max="13580" width="11.77734375" bestFit="1" customWidth="1"/>
    <col min="13581" max="13582" width="9.88671875" bestFit="1" customWidth="1"/>
    <col min="13583" max="13583" width="10.88671875" bestFit="1" customWidth="1"/>
    <col min="13584" max="13584" width="11.88671875" customWidth="1"/>
    <col min="13585" max="13585" width="0" hidden="1" customWidth="1"/>
    <col min="13586" max="13586" width="12.21875" customWidth="1"/>
    <col min="13587" max="13587" width="11.88671875" bestFit="1" customWidth="1"/>
    <col min="13589" max="13589" width="9.77734375" customWidth="1"/>
    <col min="13824" max="13824" width="14.88671875" customWidth="1"/>
    <col min="13825" max="13825" width="11.44140625" bestFit="1" customWidth="1"/>
    <col min="13827" max="13827" width="17.88671875" customWidth="1"/>
    <col min="13828" max="13828" width="9.109375" bestFit="1" customWidth="1"/>
    <col min="13829" max="13829" width="12.109375" bestFit="1" customWidth="1"/>
    <col min="13830" max="13830" width="11.88671875" bestFit="1" customWidth="1"/>
    <col min="13831" max="13833" width="9.109375" bestFit="1" customWidth="1"/>
    <col min="13834" max="13834" width="15.109375" bestFit="1" customWidth="1"/>
    <col min="13835" max="13835" width="9.109375" bestFit="1" customWidth="1"/>
    <col min="13836" max="13836" width="11.77734375" bestFit="1" customWidth="1"/>
    <col min="13837" max="13838" width="9.88671875" bestFit="1" customWidth="1"/>
    <col min="13839" max="13839" width="10.88671875" bestFit="1" customWidth="1"/>
    <col min="13840" max="13840" width="11.88671875" customWidth="1"/>
    <col min="13841" max="13841" width="0" hidden="1" customWidth="1"/>
    <col min="13842" max="13842" width="12.21875" customWidth="1"/>
    <col min="13843" max="13843" width="11.88671875" bestFit="1" customWidth="1"/>
    <col min="13845" max="13845" width="9.77734375" customWidth="1"/>
    <col min="14080" max="14080" width="14.88671875" customWidth="1"/>
    <col min="14081" max="14081" width="11.44140625" bestFit="1" customWidth="1"/>
    <col min="14083" max="14083" width="17.88671875" customWidth="1"/>
    <col min="14084" max="14084" width="9.109375" bestFit="1" customWidth="1"/>
    <col min="14085" max="14085" width="12.109375" bestFit="1" customWidth="1"/>
    <col min="14086" max="14086" width="11.88671875" bestFit="1" customWidth="1"/>
    <col min="14087" max="14089" width="9.109375" bestFit="1" customWidth="1"/>
    <col min="14090" max="14090" width="15.109375" bestFit="1" customWidth="1"/>
    <col min="14091" max="14091" width="9.109375" bestFit="1" customWidth="1"/>
    <col min="14092" max="14092" width="11.77734375" bestFit="1" customWidth="1"/>
    <col min="14093" max="14094" width="9.88671875" bestFit="1" customWidth="1"/>
    <col min="14095" max="14095" width="10.88671875" bestFit="1" customWidth="1"/>
    <col min="14096" max="14096" width="11.88671875" customWidth="1"/>
    <col min="14097" max="14097" width="0" hidden="1" customWidth="1"/>
    <col min="14098" max="14098" width="12.21875" customWidth="1"/>
    <col min="14099" max="14099" width="11.88671875" bestFit="1" customWidth="1"/>
    <col min="14101" max="14101" width="9.77734375" customWidth="1"/>
    <col min="14336" max="14336" width="14.88671875" customWidth="1"/>
    <col min="14337" max="14337" width="11.44140625" bestFit="1" customWidth="1"/>
    <col min="14339" max="14339" width="17.88671875" customWidth="1"/>
    <col min="14340" max="14340" width="9.109375" bestFit="1" customWidth="1"/>
    <col min="14341" max="14341" width="12.109375" bestFit="1" customWidth="1"/>
    <col min="14342" max="14342" width="11.88671875" bestFit="1" customWidth="1"/>
    <col min="14343" max="14345" width="9.109375" bestFit="1" customWidth="1"/>
    <col min="14346" max="14346" width="15.109375" bestFit="1" customWidth="1"/>
    <col min="14347" max="14347" width="9.109375" bestFit="1" customWidth="1"/>
    <col min="14348" max="14348" width="11.77734375" bestFit="1" customWidth="1"/>
    <col min="14349" max="14350" width="9.88671875" bestFit="1" customWidth="1"/>
    <col min="14351" max="14351" width="10.88671875" bestFit="1" customWidth="1"/>
    <col min="14352" max="14352" width="11.88671875" customWidth="1"/>
    <col min="14353" max="14353" width="0" hidden="1" customWidth="1"/>
    <col min="14354" max="14354" width="12.21875" customWidth="1"/>
    <col min="14355" max="14355" width="11.88671875" bestFit="1" customWidth="1"/>
    <col min="14357" max="14357" width="9.77734375" customWidth="1"/>
    <col min="14592" max="14592" width="14.88671875" customWidth="1"/>
    <col min="14593" max="14593" width="11.44140625" bestFit="1" customWidth="1"/>
    <col min="14595" max="14595" width="17.88671875" customWidth="1"/>
    <col min="14596" max="14596" width="9.109375" bestFit="1" customWidth="1"/>
    <col min="14597" max="14597" width="12.109375" bestFit="1" customWidth="1"/>
    <col min="14598" max="14598" width="11.88671875" bestFit="1" customWidth="1"/>
    <col min="14599" max="14601" width="9.109375" bestFit="1" customWidth="1"/>
    <col min="14602" max="14602" width="15.109375" bestFit="1" customWidth="1"/>
    <col min="14603" max="14603" width="9.109375" bestFit="1" customWidth="1"/>
    <col min="14604" max="14604" width="11.77734375" bestFit="1" customWidth="1"/>
    <col min="14605" max="14606" width="9.88671875" bestFit="1" customWidth="1"/>
    <col min="14607" max="14607" width="10.88671875" bestFit="1" customWidth="1"/>
    <col min="14608" max="14608" width="11.88671875" customWidth="1"/>
    <col min="14609" max="14609" width="0" hidden="1" customWidth="1"/>
    <col min="14610" max="14610" width="12.21875" customWidth="1"/>
    <col min="14611" max="14611" width="11.88671875" bestFit="1" customWidth="1"/>
    <col min="14613" max="14613" width="9.77734375" customWidth="1"/>
    <col min="14848" max="14848" width="14.88671875" customWidth="1"/>
    <col min="14849" max="14849" width="11.44140625" bestFit="1" customWidth="1"/>
    <col min="14851" max="14851" width="17.88671875" customWidth="1"/>
    <col min="14852" max="14852" width="9.109375" bestFit="1" customWidth="1"/>
    <col min="14853" max="14853" width="12.109375" bestFit="1" customWidth="1"/>
    <col min="14854" max="14854" width="11.88671875" bestFit="1" customWidth="1"/>
    <col min="14855" max="14857" width="9.109375" bestFit="1" customWidth="1"/>
    <col min="14858" max="14858" width="15.109375" bestFit="1" customWidth="1"/>
    <col min="14859" max="14859" width="9.109375" bestFit="1" customWidth="1"/>
    <col min="14860" max="14860" width="11.77734375" bestFit="1" customWidth="1"/>
    <col min="14861" max="14862" width="9.88671875" bestFit="1" customWidth="1"/>
    <col min="14863" max="14863" width="10.88671875" bestFit="1" customWidth="1"/>
    <col min="14864" max="14864" width="11.88671875" customWidth="1"/>
    <col min="14865" max="14865" width="0" hidden="1" customWidth="1"/>
    <col min="14866" max="14866" width="12.21875" customWidth="1"/>
    <col min="14867" max="14867" width="11.88671875" bestFit="1" customWidth="1"/>
    <col min="14869" max="14869" width="9.77734375" customWidth="1"/>
    <col min="15104" max="15104" width="14.88671875" customWidth="1"/>
    <col min="15105" max="15105" width="11.44140625" bestFit="1" customWidth="1"/>
    <col min="15107" max="15107" width="17.88671875" customWidth="1"/>
    <col min="15108" max="15108" width="9.109375" bestFit="1" customWidth="1"/>
    <col min="15109" max="15109" width="12.109375" bestFit="1" customWidth="1"/>
    <col min="15110" max="15110" width="11.88671875" bestFit="1" customWidth="1"/>
    <col min="15111" max="15113" width="9.109375" bestFit="1" customWidth="1"/>
    <col min="15114" max="15114" width="15.109375" bestFit="1" customWidth="1"/>
    <col min="15115" max="15115" width="9.109375" bestFit="1" customWidth="1"/>
    <col min="15116" max="15116" width="11.77734375" bestFit="1" customWidth="1"/>
    <col min="15117" max="15118" width="9.88671875" bestFit="1" customWidth="1"/>
    <col min="15119" max="15119" width="10.88671875" bestFit="1" customWidth="1"/>
    <col min="15120" max="15120" width="11.88671875" customWidth="1"/>
    <col min="15121" max="15121" width="0" hidden="1" customWidth="1"/>
    <col min="15122" max="15122" width="12.21875" customWidth="1"/>
    <col min="15123" max="15123" width="11.88671875" bestFit="1" customWidth="1"/>
    <col min="15125" max="15125" width="9.77734375" customWidth="1"/>
    <col min="15360" max="15360" width="14.88671875" customWidth="1"/>
    <col min="15361" max="15361" width="11.44140625" bestFit="1" customWidth="1"/>
    <col min="15363" max="15363" width="17.88671875" customWidth="1"/>
    <col min="15364" max="15364" width="9.109375" bestFit="1" customWidth="1"/>
    <col min="15365" max="15365" width="12.109375" bestFit="1" customWidth="1"/>
    <col min="15366" max="15366" width="11.88671875" bestFit="1" customWidth="1"/>
    <col min="15367" max="15369" width="9.109375" bestFit="1" customWidth="1"/>
    <col min="15370" max="15370" width="15.109375" bestFit="1" customWidth="1"/>
    <col min="15371" max="15371" width="9.109375" bestFit="1" customWidth="1"/>
    <col min="15372" max="15372" width="11.77734375" bestFit="1" customWidth="1"/>
    <col min="15373" max="15374" width="9.88671875" bestFit="1" customWidth="1"/>
    <col min="15375" max="15375" width="10.88671875" bestFit="1" customWidth="1"/>
    <col min="15376" max="15376" width="11.88671875" customWidth="1"/>
    <col min="15377" max="15377" width="0" hidden="1" customWidth="1"/>
    <col min="15378" max="15378" width="12.21875" customWidth="1"/>
    <col min="15379" max="15379" width="11.88671875" bestFit="1" customWidth="1"/>
    <col min="15381" max="15381" width="9.77734375" customWidth="1"/>
    <col min="15616" max="15616" width="14.88671875" customWidth="1"/>
    <col min="15617" max="15617" width="11.44140625" bestFit="1" customWidth="1"/>
    <col min="15619" max="15619" width="17.88671875" customWidth="1"/>
    <col min="15620" max="15620" width="9.109375" bestFit="1" customWidth="1"/>
    <col min="15621" max="15621" width="12.109375" bestFit="1" customWidth="1"/>
    <col min="15622" max="15622" width="11.88671875" bestFit="1" customWidth="1"/>
    <col min="15623" max="15625" width="9.109375" bestFit="1" customWidth="1"/>
    <col min="15626" max="15626" width="15.109375" bestFit="1" customWidth="1"/>
    <col min="15627" max="15627" width="9.109375" bestFit="1" customWidth="1"/>
    <col min="15628" max="15628" width="11.77734375" bestFit="1" customWidth="1"/>
    <col min="15629" max="15630" width="9.88671875" bestFit="1" customWidth="1"/>
    <col min="15631" max="15631" width="10.88671875" bestFit="1" customWidth="1"/>
    <col min="15632" max="15632" width="11.88671875" customWidth="1"/>
    <col min="15633" max="15633" width="0" hidden="1" customWidth="1"/>
    <col min="15634" max="15634" width="12.21875" customWidth="1"/>
    <col min="15635" max="15635" width="11.88671875" bestFit="1" customWidth="1"/>
    <col min="15637" max="15637" width="9.77734375" customWidth="1"/>
    <col min="15872" max="15872" width="14.88671875" customWidth="1"/>
    <col min="15873" max="15873" width="11.44140625" bestFit="1" customWidth="1"/>
    <col min="15875" max="15875" width="17.88671875" customWidth="1"/>
    <col min="15876" max="15876" width="9.109375" bestFit="1" customWidth="1"/>
    <col min="15877" max="15877" width="12.109375" bestFit="1" customWidth="1"/>
    <col min="15878" max="15878" width="11.88671875" bestFit="1" customWidth="1"/>
    <col min="15879" max="15881" width="9.109375" bestFit="1" customWidth="1"/>
    <col min="15882" max="15882" width="15.109375" bestFit="1" customWidth="1"/>
    <col min="15883" max="15883" width="9.109375" bestFit="1" customWidth="1"/>
    <col min="15884" max="15884" width="11.77734375" bestFit="1" customWidth="1"/>
    <col min="15885" max="15886" width="9.88671875" bestFit="1" customWidth="1"/>
    <col min="15887" max="15887" width="10.88671875" bestFit="1" customWidth="1"/>
    <col min="15888" max="15888" width="11.88671875" customWidth="1"/>
    <col min="15889" max="15889" width="0" hidden="1" customWidth="1"/>
    <col min="15890" max="15890" width="12.21875" customWidth="1"/>
    <col min="15891" max="15891" width="11.88671875" bestFit="1" customWidth="1"/>
    <col min="15893" max="15893" width="9.77734375" customWidth="1"/>
    <col min="16128" max="16128" width="14.88671875" customWidth="1"/>
    <col min="16129" max="16129" width="11.44140625" bestFit="1" customWidth="1"/>
    <col min="16131" max="16131" width="17.88671875" customWidth="1"/>
    <col min="16132" max="16132" width="9.109375" bestFit="1" customWidth="1"/>
    <col min="16133" max="16133" width="12.109375" bestFit="1" customWidth="1"/>
    <col min="16134" max="16134" width="11.88671875" bestFit="1" customWidth="1"/>
    <col min="16135" max="16137" width="9.109375" bestFit="1" customWidth="1"/>
    <col min="16138" max="16138" width="15.109375" bestFit="1" customWidth="1"/>
    <col min="16139" max="16139" width="9.109375" bestFit="1" customWidth="1"/>
    <col min="16140" max="16140" width="11.77734375" bestFit="1" customWidth="1"/>
    <col min="16141" max="16142" width="9.88671875" bestFit="1" customWidth="1"/>
    <col min="16143" max="16143" width="10.88671875" bestFit="1" customWidth="1"/>
    <col min="16144" max="16144" width="11.88671875" customWidth="1"/>
    <col min="16145" max="16145" width="0" hidden="1" customWidth="1"/>
    <col min="16146" max="16146" width="12.21875" customWidth="1"/>
    <col min="16147" max="16147" width="11.88671875" bestFit="1" customWidth="1"/>
    <col min="16149" max="16149" width="9.77734375" customWidth="1"/>
  </cols>
  <sheetData>
    <row r="3" spans="1:22" ht="15" thickBot="1" x14ac:dyDescent="0.35"/>
    <row r="4" spans="1:22" ht="43.8" thickBot="1" x14ac:dyDescent="0.35">
      <c r="A4" s="39"/>
      <c r="B4" s="39" t="s">
        <v>68</v>
      </c>
      <c r="C4" s="39" t="s">
        <v>69</v>
      </c>
      <c r="D4" s="40" t="s">
        <v>70</v>
      </c>
      <c r="E4" s="39" t="s">
        <v>71</v>
      </c>
      <c r="F4" s="39" t="s">
        <v>72</v>
      </c>
      <c r="G4" s="39" t="s">
        <v>73</v>
      </c>
      <c r="H4" s="41" t="s">
        <v>74</v>
      </c>
      <c r="I4" s="41" t="s">
        <v>75</v>
      </c>
      <c r="J4" s="42" t="s">
        <v>76</v>
      </c>
      <c r="K4" s="39" t="s">
        <v>77</v>
      </c>
      <c r="L4" s="39" t="s">
        <v>61</v>
      </c>
      <c r="M4" s="39" t="s">
        <v>78</v>
      </c>
      <c r="N4" s="42" t="s">
        <v>79</v>
      </c>
      <c r="O4" s="39" t="s">
        <v>80</v>
      </c>
      <c r="P4" s="39" t="s">
        <v>81</v>
      </c>
      <c r="Q4" s="39" t="s">
        <v>82</v>
      </c>
      <c r="R4" s="39" t="s">
        <v>83</v>
      </c>
      <c r="S4" s="39" t="s">
        <v>84</v>
      </c>
      <c r="T4" s="66" t="s">
        <v>85</v>
      </c>
      <c r="U4" s="70" t="s">
        <v>86</v>
      </c>
      <c r="V4" s="68" t="s">
        <v>87</v>
      </c>
    </row>
    <row r="5" spans="1:22" ht="15" thickBot="1" x14ac:dyDescent="0.35">
      <c r="A5" s="39" t="s">
        <v>88</v>
      </c>
      <c r="B5" s="40">
        <v>4</v>
      </c>
      <c r="C5" s="40" t="s">
        <v>89</v>
      </c>
      <c r="D5" s="40">
        <v>160</v>
      </c>
      <c r="E5" s="40"/>
      <c r="F5" s="40">
        <v>205</v>
      </c>
      <c r="G5" s="43">
        <f>(+D5+E5)*F5</f>
        <v>32800</v>
      </c>
      <c r="H5" s="44">
        <v>15</v>
      </c>
      <c r="I5" s="44">
        <v>80</v>
      </c>
      <c r="J5" s="40">
        <v>73.23</v>
      </c>
      <c r="K5" s="45">
        <f t="shared" ref="K5:K15" si="0">+J5*(H5+I5)</f>
        <v>6956.85</v>
      </c>
      <c r="L5" s="46"/>
      <c r="M5" s="43">
        <f>+$B$34*I5</f>
        <v>6617.4945054945056</v>
      </c>
      <c r="N5" s="40"/>
      <c r="O5" s="40"/>
      <c r="P5" s="43"/>
      <c r="Q5" s="47">
        <f t="shared" ref="Q5:Q15" si="1">+G5+K5+L5+P5+M5</f>
        <v>46374.344505494504</v>
      </c>
      <c r="R5" s="48">
        <f t="shared" ref="R5:R15" si="2">+Q5/I5</f>
        <v>579.67930631868126</v>
      </c>
      <c r="S5" s="48">
        <v>450</v>
      </c>
      <c r="T5" s="67">
        <f t="shared" ref="T5:T15" si="3">+S5*I5</f>
        <v>36000</v>
      </c>
      <c r="U5" s="71">
        <f>+S5*$U$18</f>
        <v>495.00000000000006</v>
      </c>
      <c r="V5" s="69">
        <f>+U5-S5</f>
        <v>45.000000000000057</v>
      </c>
    </row>
    <row r="6" spans="1:22" ht="15" thickBot="1" x14ac:dyDescent="0.35">
      <c r="A6" s="39" t="s">
        <v>88</v>
      </c>
      <c r="B6" s="40">
        <v>2</v>
      </c>
      <c r="C6" s="40" t="s">
        <v>90</v>
      </c>
      <c r="D6" s="40">
        <f>+B6*20</f>
        <v>40</v>
      </c>
      <c r="E6" s="40">
        <f>+B6*20</f>
        <v>40</v>
      </c>
      <c r="F6" s="40">
        <v>205</v>
      </c>
      <c r="G6" s="43">
        <f t="shared" ref="G6:G11" si="4">(+D6+E6)*F6</f>
        <v>16400</v>
      </c>
      <c r="H6" s="44">
        <v>8</v>
      </c>
      <c r="I6" s="44">
        <v>30</v>
      </c>
      <c r="J6" s="40">
        <v>73.23</v>
      </c>
      <c r="K6" s="49">
        <f t="shared" si="0"/>
        <v>2782.7400000000002</v>
      </c>
      <c r="L6" s="46"/>
      <c r="M6" s="43">
        <f t="shared" ref="M6:M15" si="5">+$B$34*I6</f>
        <v>2481.5604395604396</v>
      </c>
      <c r="N6" s="40">
        <v>60</v>
      </c>
      <c r="O6" s="40"/>
      <c r="P6" s="43">
        <f>+N6*E6+O6</f>
        <v>2400</v>
      </c>
      <c r="Q6" s="47">
        <f t="shared" si="1"/>
        <v>24064.30043956044</v>
      </c>
      <c r="R6" s="48">
        <f t="shared" si="2"/>
        <v>802.14334798534799</v>
      </c>
      <c r="S6" s="48">
        <v>600</v>
      </c>
      <c r="T6" s="67">
        <f t="shared" si="3"/>
        <v>18000</v>
      </c>
      <c r="U6" s="71">
        <f t="shared" ref="U6:U15" si="6">+S6*$U$18</f>
        <v>660</v>
      </c>
      <c r="V6" s="69">
        <f t="shared" ref="V6:V15" si="7">+U6-S6</f>
        <v>60</v>
      </c>
    </row>
    <row r="7" spans="1:22" ht="15" thickBot="1" x14ac:dyDescent="0.35">
      <c r="A7" s="39" t="s">
        <v>88</v>
      </c>
      <c r="B7" s="40">
        <v>2</v>
      </c>
      <c r="C7" s="40" t="s">
        <v>91</v>
      </c>
      <c r="D7" s="40">
        <f>+B7*20</f>
        <v>40</v>
      </c>
      <c r="E7" s="40">
        <f>+B7*20</f>
        <v>40</v>
      </c>
      <c r="F7" s="40">
        <v>205</v>
      </c>
      <c r="G7" s="43">
        <f t="shared" si="4"/>
        <v>16400</v>
      </c>
      <c r="H7" s="44">
        <v>8</v>
      </c>
      <c r="I7" s="44">
        <v>30</v>
      </c>
      <c r="J7" s="40">
        <v>73.23</v>
      </c>
      <c r="K7" s="49">
        <f t="shared" si="0"/>
        <v>2782.7400000000002</v>
      </c>
      <c r="L7" s="46">
        <f>+$E$21*I7</f>
        <v>750</v>
      </c>
      <c r="M7" s="43">
        <f t="shared" si="5"/>
        <v>2481.5604395604396</v>
      </c>
      <c r="N7" s="40">
        <v>100</v>
      </c>
      <c r="O7" s="40"/>
      <c r="P7" s="43">
        <f t="shared" ref="P7:P15" si="8">+N7*E7+O7</f>
        <v>4000</v>
      </c>
      <c r="Q7" s="47">
        <f t="shared" si="1"/>
        <v>26414.30043956044</v>
      </c>
      <c r="R7" s="48">
        <f t="shared" si="2"/>
        <v>880.47668131868136</v>
      </c>
      <c r="S7" s="48">
        <v>690</v>
      </c>
      <c r="T7" s="67">
        <f t="shared" si="3"/>
        <v>20700</v>
      </c>
      <c r="U7" s="71">
        <f t="shared" si="6"/>
        <v>759.00000000000011</v>
      </c>
      <c r="V7" s="69">
        <f t="shared" si="7"/>
        <v>69.000000000000114</v>
      </c>
    </row>
    <row r="8" spans="1:22" ht="15" thickBot="1" x14ac:dyDescent="0.35">
      <c r="A8" s="39" t="s">
        <v>88</v>
      </c>
      <c r="B8" s="40">
        <v>2</v>
      </c>
      <c r="C8" s="40" t="s">
        <v>92</v>
      </c>
      <c r="D8" s="40">
        <f>+B8*20</f>
        <v>40</v>
      </c>
      <c r="E8" s="40">
        <f>+B8*20</f>
        <v>40</v>
      </c>
      <c r="F8" s="40">
        <v>205</v>
      </c>
      <c r="G8" s="43">
        <f t="shared" si="4"/>
        <v>16400</v>
      </c>
      <c r="H8" s="44">
        <v>8</v>
      </c>
      <c r="I8" s="44">
        <v>30</v>
      </c>
      <c r="J8" s="40">
        <v>73.23</v>
      </c>
      <c r="K8" s="49">
        <f t="shared" si="0"/>
        <v>2782.7400000000002</v>
      </c>
      <c r="L8" s="46">
        <f>+$E$21*I8</f>
        <v>750</v>
      </c>
      <c r="M8" s="43">
        <f t="shared" si="5"/>
        <v>2481.5604395604396</v>
      </c>
      <c r="N8" s="40">
        <v>110</v>
      </c>
      <c r="O8" s="40"/>
      <c r="P8" s="43">
        <f t="shared" si="8"/>
        <v>4400</v>
      </c>
      <c r="Q8" s="47">
        <f t="shared" si="1"/>
        <v>26814.30043956044</v>
      </c>
      <c r="R8" s="48">
        <f t="shared" si="2"/>
        <v>893.81001465201473</v>
      </c>
      <c r="S8" s="48">
        <v>725</v>
      </c>
      <c r="T8" s="67">
        <f t="shared" si="3"/>
        <v>21750</v>
      </c>
      <c r="U8" s="71">
        <f t="shared" si="6"/>
        <v>797.50000000000011</v>
      </c>
      <c r="V8" s="69">
        <f t="shared" si="7"/>
        <v>72.500000000000114</v>
      </c>
    </row>
    <row r="9" spans="1:22" ht="15" thickBot="1" x14ac:dyDescent="0.35">
      <c r="A9" s="39" t="s">
        <v>88</v>
      </c>
      <c r="B9" s="40">
        <v>3</v>
      </c>
      <c r="C9" s="40" t="s">
        <v>93</v>
      </c>
      <c r="D9" s="40">
        <f>+B9*20</f>
        <v>60</v>
      </c>
      <c r="E9" s="40">
        <f>+B9*20</f>
        <v>60</v>
      </c>
      <c r="F9" s="40">
        <v>205</v>
      </c>
      <c r="G9" s="43">
        <f t="shared" si="4"/>
        <v>24600</v>
      </c>
      <c r="H9" s="44">
        <v>12</v>
      </c>
      <c r="I9" s="44">
        <v>45</v>
      </c>
      <c r="J9" s="40">
        <v>73.23</v>
      </c>
      <c r="K9" s="49">
        <f t="shared" si="0"/>
        <v>4174.1100000000006</v>
      </c>
      <c r="L9" s="46">
        <f>+$E$21*I9</f>
        <v>1125</v>
      </c>
      <c r="M9" s="43">
        <f t="shared" si="5"/>
        <v>3722.3406593406594</v>
      </c>
      <c r="N9" s="40">
        <v>125</v>
      </c>
      <c r="O9" s="40"/>
      <c r="P9" s="43">
        <f t="shared" si="8"/>
        <v>7500</v>
      </c>
      <c r="Q9" s="47">
        <f t="shared" si="1"/>
        <v>41121.450659340662</v>
      </c>
      <c r="R9" s="48">
        <f t="shared" si="2"/>
        <v>913.81001465201473</v>
      </c>
      <c r="S9" s="48">
        <v>755</v>
      </c>
      <c r="T9" s="67">
        <f t="shared" si="3"/>
        <v>33975</v>
      </c>
      <c r="U9" s="71">
        <f t="shared" si="6"/>
        <v>830.50000000000011</v>
      </c>
      <c r="V9" s="69">
        <f t="shared" si="7"/>
        <v>75.500000000000114</v>
      </c>
    </row>
    <row r="10" spans="1:22" ht="15" thickBot="1" x14ac:dyDescent="0.35">
      <c r="A10" s="39" t="s">
        <v>88</v>
      </c>
      <c r="B10" s="40">
        <v>2</v>
      </c>
      <c r="C10" s="40" t="s">
        <v>94</v>
      </c>
      <c r="D10" s="40">
        <f>+B10*20</f>
        <v>40</v>
      </c>
      <c r="E10" s="40">
        <f>+B10*20</f>
        <v>40</v>
      </c>
      <c r="F10" s="40">
        <v>205</v>
      </c>
      <c r="G10" s="43">
        <f>(+D10+E10*1.5)*F10</f>
        <v>20500</v>
      </c>
      <c r="H10" s="44">
        <v>8</v>
      </c>
      <c r="I10" s="44">
        <v>34</v>
      </c>
      <c r="J10" s="40">
        <v>73.23</v>
      </c>
      <c r="K10" s="49">
        <f t="shared" si="0"/>
        <v>3075.6600000000003</v>
      </c>
      <c r="L10" s="46">
        <f>+$E$21*I10</f>
        <v>850</v>
      </c>
      <c r="M10" s="43">
        <f t="shared" si="5"/>
        <v>2812.4351648351649</v>
      </c>
      <c r="N10" s="40">
        <v>190</v>
      </c>
      <c r="O10" s="40"/>
      <c r="P10" s="43">
        <f t="shared" si="8"/>
        <v>7600</v>
      </c>
      <c r="Q10" s="47">
        <f t="shared" si="1"/>
        <v>34838.095164835162</v>
      </c>
      <c r="R10" s="48">
        <f t="shared" si="2"/>
        <v>1024.6498577892694</v>
      </c>
      <c r="S10" s="48">
        <v>845</v>
      </c>
      <c r="T10" s="67">
        <f t="shared" si="3"/>
        <v>28730</v>
      </c>
      <c r="U10" s="71">
        <f t="shared" si="6"/>
        <v>929.50000000000011</v>
      </c>
      <c r="V10" s="69">
        <f t="shared" si="7"/>
        <v>84.500000000000114</v>
      </c>
    </row>
    <row r="11" spans="1:22" ht="15" thickBot="1" x14ac:dyDescent="0.35">
      <c r="A11" s="39" t="s">
        <v>95</v>
      </c>
      <c r="B11" s="40">
        <v>2</v>
      </c>
      <c r="C11" s="40" t="s">
        <v>90</v>
      </c>
      <c r="D11" s="40">
        <f>+B11*42</f>
        <v>84</v>
      </c>
      <c r="E11" s="40">
        <f>18*B11</f>
        <v>36</v>
      </c>
      <c r="F11" s="40">
        <v>205</v>
      </c>
      <c r="G11" s="43">
        <f t="shared" si="4"/>
        <v>24600</v>
      </c>
      <c r="H11" s="44">
        <v>10</v>
      </c>
      <c r="I11" s="44">
        <v>36</v>
      </c>
      <c r="J11" s="40">
        <v>73.23</v>
      </c>
      <c r="K11" s="49">
        <f t="shared" si="0"/>
        <v>3368.5800000000004</v>
      </c>
      <c r="L11" s="46">
        <f>+($E$22+$E$23)*B11</f>
        <v>350</v>
      </c>
      <c r="M11" s="43">
        <f t="shared" si="5"/>
        <v>2977.8725274725275</v>
      </c>
      <c r="N11" s="40">
        <v>60</v>
      </c>
      <c r="O11" s="40">
        <v>300</v>
      </c>
      <c r="P11" s="43">
        <f t="shared" si="8"/>
        <v>2460</v>
      </c>
      <c r="Q11" s="47">
        <f t="shared" si="1"/>
        <v>33756.452527472531</v>
      </c>
      <c r="R11" s="48">
        <f t="shared" si="2"/>
        <v>937.67923687423695</v>
      </c>
      <c r="S11" s="48">
        <v>700</v>
      </c>
      <c r="T11" s="67">
        <f t="shared" si="3"/>
        <v>25200</v>
      </c>
      <c r="U11" s="71">
        <f t="shared" si="6"/>
        <v>770.00000000000011</v>
      </c>
      <c r="V11" s="69">
        <f t="shared" si="7"/>
        <v>70.000000000000114</v>
      </c>
    </row>
    <row r="12" spans="1:22" ht="15" thickBot="1" x14ac:dyDescent="0.35">
      <c r="A12" s="39" t="s">
        <v>95</v>
      </c>
      <c r="B12" s="40">
        <v>3</v>
      </c>
      <c r="C12" s="40" t="s">
        <v>91</v>
      </c>
      <c r="D12" s="40">
        <f>+B12*42</f>
        <v>126</v>
      </c>
      <c r="E12" s="40">
        <f>18*B12</f>
        <v>54</v>
      </c>
      <c r="F12" s="40">
        <v>205</v>
      </c>
      <c r="G12" s="43">
        <f>(+D12+E12*1.5)*F12</f>
        <v>42435</v>
      </c>
      <c r="H12" s="44">
        <v>12</v>
      </c>
      <c r="I12" s="44">
        <f>17*3</f>
        <v>51</v>
      </c>
      <c r="J12" s="40">
        <v>73.23</v>
      </c>
      <c r="K12" s="49">
        <f t="shared" si="0"/>
        <v>4613.4900000000007</v>
      </c>
      <c r="L12" s="46">
        <f>+($E$22+$E$23)*B12</f>
        <v>525</v>
      </c>
      <c r="M12" s="43">
        <f t="shared" si="5"/>
        <v>4218.6527472527468</v>
      </c>
      <c r="N12" s="40">
        <v>100</v>
      </c>
      <c r="O12" s="40">
        <v>300</v>
      </c>
      <c r="P12" s="43">
        <f t="shared" si="8"/>
        <v>5700</v>
      </c>
      <c r="Q12" s="47">
        <f t="shared" si="1"/>
        <v>57492.142747252743</v>
      </c>
      <c r="R12" s="48">
        <f t="shared" si="2"/>
        <v>1127.2969166127989</v>
      </c>
      <c r="S12" s="48">
        <v>990</v>
      </c>
      <c r="T12" s="67">
        <f t="shared" si="3"/>
        <v>50490</v>
      </c>
      <c r="U12" s="71">
        <f t="shared" si="6"/>
        <v>1089</v>
      </c>
      <c r="V12" s="69">
        <f t="shared" si="7"/>
        <v>99</v>
      </c>
    </row>
    <row r="13" spans="1:22" ht="15" thickBot="1" x14ac:dyDescent="0.35">
      <c r="A13" s="39" t="s">
        <v>95</v>
      </c>
      <c r="B13" s="40">
        <v>3</v>
      </c>
      <c r="C13" s="40" t="s">
        <v>92</v>
      </c>
      <c r="D13" s="40">
        <f>+B13*42</f>
        <v>126</v>
      </c>
      <c r="E13" s="40">
        <f>18*B13</f>
        <v>54</v>
      </c>
      <c r="F13" s="40">
        <v>205</v>
      </c>
      <c r="G13" s="43">
        <f>(+D13+E13*1.5)*F13</f>
        <v>42435</v>
      </c>
      <c r="H13" s="44">
        <v>12</v>
      </c>
      <c r="I13" s="44">
        <f>17*3</f>
        <v>51</v>
      </c>
      <c r="J13" s="40">
        <v>73.23</v>
      </c>
      <c r="K13" s="49">
        <f t="shared" si="0"/>
        <v>4613.4900000000007</v>
      </c>
      <c r="L13" s="46">
        <f>+($E$22+$E$23)*B13</f>
        <v>525</v>
      </c>
      <c r="M13" s="43">
        <f t="shared" si="5"/>
        <v>4218.6527472527468</v>
      </c>
      <c r="N13" s="40">
        <v>110</v>
      </c>
      <c r="O13" s="40">
        <v>300</v>
      </c>
      <c r="P13" s="43">
        <f t="shared" si="8"/>
        <v>6240</v>
      </c>
      <c r="Q13" s="47">
        <f t="shared" si="1"/>
        <v>58032.142747252743</v>
      </c>
      <c r="R13" s="48">
        <f t="shared" si="2"/>
        <v>1137.8851519069165</v>
      </c>
      <c r="S13" s="48">
        <v>1025</v>
      </c>
      <c r="T13" s="67">
        <f t="shared" si="3"/>
        <v>52275</v>
      </c>
      <c r="U13" s="71">
        <f t="shared" si="6"/>
        <v>1127.5</v>
      </c>
      <c r="V13" s="69">
        <f t="shared" si="7"/>
        <v>102.5</v>
      </c>
    </row>
    <row r="14" spans="1:22" ht="15" thickBot="1" x14ac:dyDescent="0.35">
      <c r="A14" s="39" t="s">
        <v>95</v>
      </c>
      <c r="B14" s="40">
        <v>2</v>
      </c>
      <c r="C14" s="40" t="s">
        <v>93</v>
      </c>
      <c r="D14" s="40">
        <f>+B14*42</f>
        <v>84</v>
      </c>
      <c r="E14" s="40">
        <f>18*B14</f>
        <v>36</v>
      </c>
      <c r="F14" s="40">
        <v>205</v>
      </c>
      <c r="G14" s="43">
        <f>(+D14+E14*1.5)*F14</f>
        <v>28290</v>
      </c>
      <c r="H14" s="44">
        <v>8</v>
      </c>
      <c r="I14" s="44">
        <v>34</v>
      </c>
      <c r="J14" s="40">
        <v>73.23</v>
      </c>
      <c r="K14" s="49">
        <f t="shared" si="0"/>
        <v>3075.6600000000003</v>
      </c>
      <c r="L14" s="46">
        <f>+($E$22+$E$23)*B14</f>
        <v>350</v>
      </c>
      <c r="M14" s="43">
        <f t="shared" si="5"/>
        <v>2812.4351648351649</v>
      </c>
      <c r="N14" s="40">
        <v>180</v>
      </c>
      <c r="O14" s="40">
        <v>300</v>
      </c>
      <c r="P14" s="43">
        <f t="shared" si="8"/>
        <v>6780</v>
      </c>
      <c r="Q14" s="47">
        <f t="shared" si="1"/>
        <v>41308.095164835169</v>
      </c>
      <c r="R14" s="48">
        <f t="shared" si="2"/>
        <v>1214.9439754363284</v>
      </c>
      <c r="S14" s="48">
        <v>1055</v>
      </c>
      <c r="T14" s="67">
        <f t="shared" si="3"/>
        <v>35870</v>
      </c>
      <c r="U14" s="71">
        <f t="shared" si="6"/>
        <v>1160.5</v>
      </c>
      <c r="V14" s="69">
        <f t="shared" si="7"/>
        <v>105.5</v>
      </c>
    </row>
    <row r="15" spans="1:22" ht="15" thickBot="1" x14ac:dyDescent="0.35">
      <c r="A15" s="39" t="s">
        <v>95</v>
      </c>
      <c r="B15" s="40">
        <v>1</v>
      </c>
      <c r="C15" s="40" t="s">
        <v>94</v>
      </c>
      <c r="D15" s="40">
        <f>+B15*42</f>
        <v>42</v>
      </c>
      <c r="E15" s="40">
        <f>18*B15</f>
        <v>18</v>
      </c>
      <c r="F15" s="40">
        <v>205</v>
      </c>
      <c r="G15" s="43">
        <f>(+D15+E15*1.5)*F15</f>
        <v>14145</v>
      </c>
      <c r="H15" s="44">
        <v>4</v>
      </c>
      <c r="I15" s="44">
        <v>17</v>
      </c>
      <c r="J15" s="40">
        <v>73.23</v>
      </c>
      <c r="K15" s="49">
        <f t="shared" si="0"/>
        <v>1537.8300000000002</v>
      </c>
      <c r="L15" s="46">
        <f>+($E$22+$E$23)*B15</f>
        <v>175</v>
      </c>
      <c r="M15" s="43">
        <f t="shared" si="5"/>
        <v>1406.2175824175824</v>
      </c>
      <c r="N15" s="40">
        <v>190</v>
      </c>
      <c r="O15" s="40">
        <v>300</v>
      </c>
      <c r="P15" s="43">
        <f t="shared" si="8"/>
        <v>3720</v>
      </c>
      <c r="Q15" s="47">
        <f t="shared" si="1"/>
        <v>20984.047582417585</v>
      </c>
      <c r="R15" s="48">
        <f t="shared" si="2"/>
        <v>1234.3557401422108</v>
      </c>
      <c r="S15" s="48">
        <v>1145</v>
      </c>
      <c r="T15" s="67">
        <f t="shared" si="3"/>
        <v>19465</v>
      </c>
      <c r="U15" s="72">
        <f t="shared" si="6"/>
        <v>1259.5</v>
      </c>
      <c r="V15" s="69">
        <f t="shared" si="7"/>
        <v>114.5</v>
      </c>
    </row>
    <row r="16" spans="1:22" ht="15" thickBot="1" x14ac:dyDescent="0.35">
      <c r="A16" s="50" t="s">
        <v>96</v>
      </c>
      <c r="B16" s="51">
        <f>SUM(B5:B15)</f>
        <v>26</v>
      </c>
      <c r="C16" s="51"/>
      <c r="D16" s="51">
        <f t="shared" ref="D16:R16" si="9">SUM(D5:D15)</f>
        <v>842</v>
      </c>
      <c r="E16" s="51">
        <f t="shared" si="9"/>
        <v>418</v>
      </c>
      <c r="F16" s="51">
        <f t="shared" si="9"/>
        <v>2255</v>
      </c>
      <c r="G16" s="52">
        <f t="shared" si="9"/>
        <v>279005</v>
      </c>
      <c r="H16" s="51">
        <f t="shared" si="9"/>
        <v>105</v>
      </c>
      <c r="I16" s="51">
        <f>SUM(I5:I15)</f>
        <v>438</v>
      </c>
      <c r="J16" s="51">
        <f t="shared" si="9"/>
        <v>805.53000000000009</v>
      </c>
      <c r="K16" s="52">
        <f t="shared" si="9"/>
        <v>39763.890000000007</v>
      </c>
      <c r="L16" s="51">
        <f t="shared" si="9"/>
        <v>5400</v>
      </c>
      <c r="M16" s="52">
        <f>SUM(M5:M15)</f>
        <v>36230.782417582406</v>
      </c>
      <c r="N16" s="51">
        <f t="shared" si="9"/>
        <v>1225</v>
      </c>
      <c r="O16" s="51">
        <f t="shared" si="9"/>
        <v>1500</v>
      </c>
      <c r="P16" s="53">
        <f t="shared" si="9"/>
        <v>50800</v>
      </c>
      <c r="Q16" s="54">
        <f t="shared" si="9"/>
        <v>411199.67241758242</v>
      </c>
      <c r="R16" s="52">
        <f t="shared" si="9"/>
        <v>10746.7302436885</v>
      </c>
      <c r="S16" s="52"/>
      <c r="T16" s="52">
        <f>SUM(T5:T15)</f>
        <v>342455</v>
      </c>
      <c r="U16" s="55">
        <f>+T16*U18</f>
        <v>376700.50000000006</v>
      </c>
    </row>
    <row r="17" spans="1:21" x14ac:dyDescent="0.3">
      <c r="U17" s="56"/>
    </row>
    <row r="18" spans="1:21" x14ac:dyDescent="0.3">
      <c r="U18">
        <v>1.1000000000000001</v>
      </c>
    </row>
    <row r="20" spans="1:21" x14ac:dyDescent="0.3">
      <c r="A20" s="57" t="s">
        <v>97</v>
      </c>
      <c r="D20" s="57" t="s">
        <v>61</v>
      </c>
    </row>
    <row r="21" spans="1:21" x14ac:dyDescent="0.3">
      <c r="A21" t="s">
        <v>52</v>
      </c>
      <c r="B21" s="58">
        <v>500</v>
      </c>
      <c r="D21" t="s">
        <v>98</v>
      </c>
      <c r="E21">
        <v>25</v>
      </c>
      <c r="Q21" s="83" t="s">
        <v>113</v>
      </c>
      <c r="S21" s="83" t="s">
        <v>114</v>
      </c>
      <c r="T21" s="85" t="s">
        <v>115</v>
      </c>
    </row>
    <row r="22" spans="1:21" ht="14.4" customHeight="1" x14ac:dyDescent="0.3">
      <c r="A22" t="s">
        <v>53</v>
      </c>
      <c r="B22" s="58">
        <v>31</v>
      </c>
      <c r="D22" t="s">
        <v>99</v>
      </c>
      <c r="E22">
        <v>150</v>
      </c>
      <c r="Q22" s="83"/>
      <c r="S22" s="83"/>
      <c r="T22" s="85"/>
    </row>
    <row r="23" spans="1:21" ht="15" thickBot="1" x14ac:dyDescent="0.35">
      <c r="A23" t="s">
        <v>54</v>
      </c>
      <c r="B23" s="58">
        <v>5000</v>
      </c>
      <c r="D23" t="s">
        <v>100</v>
      </c>
      <c r="E23">
        <v>25</v>
      </c>
      <c r="H23" s="81" t="s">
        <v>111</v>
      </c>
      <c r="I23" s="76"/>
      <c r="J23" s="78" t="s">
        <v>109</v>
      </c>
      <c r="K23" s="79" t="s">
        <v>107</v>
      </c>
      <c r="L23" s="78" t="s">
        <v>110</v>
      </c>
      <c r="M23" s="79" t="s">
        <v>108</v>
      </c>
      <c r="O23" s="81"/>
      <c r="P23" s="76"/>
      <c r="Q23" s="84"/>
      <c r="R23" s="79" t="s">
        <v>107</v>
      </c>
      <c r="S23" s="84"/>
      <c r="T23" s="86"/>
    </row>
    <row r="24" spans="1:21" ht="15" thickBot="1" x14ac:dyDescent="0.35">
      <c r="A24" t="s">
        <v>55</v>
      </c>
      <c r="B24" s="58">
        <v>400</v>
      </c>
      <c r="H24" s="80">
        <v>450</v>
      </c>
      <c r="I24" s="77" t="s">
        <v>89</v>
      </c>
      <c r="J24" s="75">
        <f>+S5*1.1</f>
        <v>495.00000000000006</v>
      </c>
      <c r="K24" s="74">
        <f>+J24-S5</f>
        <v>45.000000000000057</v>
      </c>
      <c r="L24" s="75">
        <f t="shared" ref="L24:L34" si="10">+S5*1.15</f>
        <v>517.5</v>
      </c>
      <c r="M24" s="75">
        <f>+L24-S5</f>
        <v>67.5</v>
      </c>
      <c r="P24" s="77" t="s">
        <v>89</v>
      </c>
      <c r="Q24" s="75">
        <v>500</v>
      </c>
      <c r="R24" s="74">
        <f>+Q24-Z5</f>
        <v>500</v>
      </c>
      <c r="S24" s="75"/>
      <c r="T24" s="75">
        <f>+Q24+S24</f>
        <v>500</v>
      </c>
    </row>
    <row r="25" spans="1:21" ht="15" thickBot="1" x14ac:dyDescent="0.35">
      <c r="A25" t="s">
        <v>56</v>
      </c>
      <c r="B25" s="58">
        <v>10956</v>
      </c>
      <c r="H25" s="80">
        <v>600</v>
      </c>
      <c r="I25" s="77" t="s">
        <v>90</v>
      </c>
      <c r="J25" s="75">
        <f t="shared" ref="J25:J34" si="11">+S6*1.1</f>
        <v>660</v>
      </c>
      <c r="K25" s="74">
        <f t="shared" ref="K25:K34" si="12">+J25-S6</f>
        <v>60</v>
      </c>
      <c r="L25" s="75">
        <f t="shared" si="10"/>
        <v>690</v>
      </c>
      <c r="M25" s="75">
        <f t="shared" ref="M25:M34" si="13">+L25-S6</f>
        <v>90</v>
      </c>
      <c r="P25" s="77" t="s">
        <v>90</v>
      </c>
      <c r="Q25" s="75">
        <v>665</v>
      </c>
      <c r="R25" s="74">
        <f t="shared" ref="R25:R34" si="14">+Q25-Z6</f>
        <v>665</v>
      </c>
      <c r="S25" s="75">
        <v>110</v>
      </c>
      <c r="T25" s="75">
        <f t="shared" ref="T25:T29" si="15">+Q25+S25</f>
        <v>775</v>
      </c>
    </row>
    <row r="26" spans="1:21" ht="15" thickBot="1" x14ac:dyDescent="0.35">
      <c r="A26" t="s">
        <v>57</v>
      </c>
      <c r="B26" s="59">
        <v>5000</v>
      </c>
      <c r="H26" s="80">
        <v>690</v>
      </c>
      <c r="I26" s="77" t="s">
        <v>91</v>
      </c>
      <c r="J26" s="75">
        <f t="shared" si="11"/>
        <v>759.00000000000011</v>
      </c>
      <c r="K26" s="74">
        <f t="shared" si="12"/>
        <v>69.000000000000114</v>
      </c>
      <c r="L26" s="75">
        <f t="shared" si="10"/>
        <v>793.49999999999989</v>
      </c>
      <c r="M26" s="75">
        <f t="shared" si="13"/>
        <v>103.49999999999989</v>
      </c>
      <c r="P26" s="77" t="s">
        <v>91</v>
      </c>
      <c r="Q26" s="75">
        <v>765</v>
      </c>
      <c r="R26" s="74">
        <f t="shared" si="14"/>
        <v>765</v>
      </c>
      <c r="S26" s="75">
        <v>330</v>
      </c>
      <c r="T26" s="75">
        <f t="shared" si="15"/>
        <v>1095</v>
      </c>
    </row>
    <row r="27" spans="1:21" ht="15" thickBot="1" x14ac:dyDescent="0.35">
      <c r="A27" t="s">
        <v>58</v>
      </c>
      <c r="B27" s="58">
        <v>2200</v>
      </c>
      <c r="H27" s="80">
        <v>725</v>
      </c>
      <c r="I27" s="77" t="s">
        <v>92</v>
      </c>
      <c r="J27" s="75">
        <f t="shared" si="11"/>
        <v>797.50000000000011</v>
      </c>
      <c r="K27" s="74">
        <f t="shared" si="12"/>
        <v>72.500000000000114</v>
      </c>
      <c r="L27" s="75">
        <f t="shared" si="10"/>
        <v>833.74999999999989</v>
      </c>
      <c r="M27" s="75">
        <f t="shared" si="13"/>
        <v>108.74999999999989</v>
      </c>
      <c r="P27" s="77" t="s">
        <v>92</v>
      </c>
      <c r="Q27" s="75">
        <v>800</v>
      </c>
      <c r="R27" s="74">
        <f t="shared" si="14"/>
        <v>800</v>
      </c>
      <c r="S27" s="75">
        <v>330</v>
      </c>
      <c r="T27" s="75">
        <f t="shared" si="15"/>
        <v>1130</v>
      </c>
    </row>
    <row r="28" spans="1:21" ht="15" thickBot="1" x14ac:dyDescent="0.35">
      <c r="A28" t="s">
        <v>60</v>
      </c>
      <c r="B28" s="58">
        <v>100</v>
      </c>
      <c r="H28" s="80">
        <v>755</v>
      </c>
      <c r="I28" s="77" t="s">
        <v>93</v>
      </c>
      <c r="J28" s="75">
        <f t="shared" si="11"/>
        <v>830.50000000000011</v>
      </c>
      <c r="K28" s="74">
        <f t="shared" si="12"/>
        <v>75.500000000000114</v>
      </c>
      <c r="L28" s="75">
        <f t="shared" si="10"/>
        <v>868.24999999999989</v>
      </c>
      <c r="M28" s="75">
        <f t="shared" si="13"/>
        <v>113.24999999999989</v>
      </c>
      <c r="P28" s="77" t="s">
        <v>93</v>
      </c>
      <c r="Q28" s="75">
        <v>835</v>
      </c>
      <c r="R28" s="74">
        <f t="shared" si="14"/>
        <v>835</v>
      </c>
      <c r="S28" s="75">
        <v>330</v>
      </c>
      <c r="T28" s="75">
        <f t="shared" si="15"/>
        <v>1165</v>
      </c>
    </row>
    <row r="29" spans="1:21" ht="15" thickBot="1" x14ac:dyDescent="0.35">
      <c r="A29" t="s">
        <v>62</v>
      </c>
      <c r="B29" s="58">
        <v>250</v>
      </c>
      <c r="H29" s="80">
        <v>845</v>
      </c>
      <c r="I29" s="77" t="s">
        <v>94</v>
      </c>
      <c r="J29" s="75">
        <f t="shared" si="11"/>
        <v>929.50000000000011</v>
      </c>
      <c r="K29" s="74">
        <f t="shared" si="12"/>
        <v>84.500000000000114</v>
      </c>
      <c r="L29" s="75">
        <f t="shared" si="10"/>
        <v>971.74999999999989</v>
      </c>
      <c r="M29" s="75">
        <f t="shared" si="13"/>
        <v>126.74999999999989</v>
      </c>
      <c r="P29" s="77" t="s">
        <v>94</v>
      </c>
      <c r="Q29" s="75">
        <v>935</v>
      </c>
      <c r="R29" s="74">
        <f t="shared" si="14"/>
        <v>935</v>
      </c>
      <c r="S29" s="75">
        <v>330</v>
      </c>
      <c r="T29" s="75">
        <f t="shared" si="15"/>
        <v>1265</v>
      </c>
    </row>
    <row r="30" spans="1:21" ht="15" thickBot="1" x14ac:dyDescent="0.35">
      <c r="A30" t="s">
        <v>101</v>
      </c>
      <c r="B30" s="58">
        <v>11000</v>
      </c>
      <c r="H30" s="80">
        <v>700</v>
      </c>
      <c r="I30" s="77" t="s">
        <v>90</v>
      </c>
      <c r="J30" s="75">
        <f t="shared" si="11"/>
        <v>770.00000000000011</v>
      </c>
      <c r="K30" s="74">
        <f t="shared" si="12"/>
        <v>70.000000000000114</v>
      </c>
      <c r="L30" s="75">
        <f t="shared" si="10"/>
        <v>804.99999999999989</v>
      </c>
      <c r="M30" s="75">
        <f t="shared" si="13"/>
        <v>104.99999999999989</v>
      </c>
    </row>
    <row r="31" spans="1:21" ht="15" thickBot="1" x14ac:dyDescent="0.35">
      <c r="A31" t="s">
        <v>63</v>
      </c>
      <c r="B31" s="58">
        <v>100</v>
      </c>
      <c r="H31" s="80">
        <v>990</v>
      </c>
      <c r="I31" s="77" t="s">
        <v>91</v>
      </c>
      <c r="J31" s="75">
        <f t="shared" si="11"/>
        <v>1089</v>
      </c>
      <c r="K31" s="74">
        <f t="shared" si="12"/>
        <v>99</v>
      </c>
      <c r="L31" s="75">
        <f t="shared" si="10"/>
        <v>1138.5</v>
      </c>
      <c r="M31" s="75">
        <f t="shared" si="13"/>
        <v>148.5</v>
      </c>
    </row>
    <row r="32" spans="1:21" ht="15" thickBot="1" x14ac:dyDescent="0.35">
      <c r="A32" t="s">
        <v>64</v>
      </c>
      <c r="B32" s="58">
        <v>2100</v>
      </c>
      <c r="H32" s="80">
        <v>1025</v>
      </c>
      <c r="I32" s="77" t="s">
        <v>92</v>
      </c>
      <c r="J32" s="75">
        <f t="shared" si="11"/>
        <v>1127.5</v>
      </c>
      <c r="K32" s="74">
        <f t="shared" si="12"/>
        <v>102.5</v>
      </c>
      <c r="L32" s="75">
        <f t="shared" si="10"/>
        <v>1178.75</v>
      </c>
      <c r="M32" s="75">
        <f t="shared" si="13"/>
        <v>153.75</v>
      </c>
    </row>
    <row r="33" spans="1:20" ht="15" thickBot="1" x14ac:dyDescent="0.35">
      <c r="A33" s="60" t="s">
        <v>102</v>
      </c>
      <c r="B33" s="61">
        <f>SUM(B21:B32)</f>
        <v>37637</v>
      </c>
      <c r="H33" s="80">
        <v>1055</v>
      </c>
      <c r="I33" s="77" t="s">
        <v>93</v>
      </c>
      <c r="J33" s="75">
        <f t="shared" si="11"/>
        <v>1160.5</v>
      </c>
      <c r="K33" s="74">
        <f t="shared" si="12"/>
        <v>105.5</v>
      </c>
      <c r="L33" s="75">
        <f t="shared" si="10"/>
        <v>1213.25</v>
      </c>
      <c r="M33" s="75">
        <f t="shared" si="13"/>
        <v>158.25</v>
      </c>
    </row>
    <row r="34" spans="1:20" ht="15" thickBot="1" x14ac:dyDescent="0.35">
      <c r="A34" s="62" t="s">
        <v>103</v>
      </c>
      <c r="B34" s="63">
        <f>+B33/(I16+I40)</f>
        <v>82.71868131868132</v>
      </c>
      <c r="H34" s="80">
        <v>1145</v>
      </c>
      <c r="I34" s="77" t="s">
        <v>94</v>
      </c>
      <c r="J34" s="75">
        <f t="shared" si="11"/>
        <v>1259.5</v>
      </c>
      <c r="K34" s="74">
        <f t="shared" si="12"/>
        <v>114.5</v>
      </c>
      <c r="L34" s="75">
        <f t="shared" si="10"/>
        <v>1316.75</v>
      </c>
      <c r="M34" s="75">
        <f t="shared" si="13"/>
        <v>171.75</v>
      </c>
    </row>
    <row r="39" spans="1:20" ht="15" thickBot="1" x14ac:dyDescent="0.35"/>
    <row r="40" spans="1:20" ht="15" thickBot="1" x14ac:dyDescent="0.35">
      <c r="A40" s="39" t="s">
        <v>104</v>
      </c>
      <c r="B40" s="40">
        <v>1</v>
      </c>
      <c r="C40" s="40" t="s">
        <v>92</v>
      </c>
      <c r="D40" s="40">
        <f>+B40*42</f>
        <v>42</v>
      </c>
      <c r="E40" s="40">
        <v>20</v>
      </c>
      <c r="F40" s="40">
        <v>205</v>
      </c>
      <c r="G40" s="43">
        <f>(+D40+E40*1.5)*F40</f>
        <v>14760</v>
      </c>
      <c r="H40" s="44">
        <v>4</v>
      </c>
      <c r="I40" s="40">
        <v>17</v>
      </c>
      <c r="J40" s="40">
        <v>73.23</v>
      </c>
      <c r="K40" s="73">
        <f>+J40*(H40+I40)</f>
        <v>1537.8300000000002</v>
      </c>
      <c r="L40" s="64">
        <f>+($E$22+$E$23)*B40</f>
        <v>175</v>
      </c>
      <c r="M40" s="43">
        <f>+$B$34*I40</f>
        <v>1406.2175824175824</v>
      </c>
      <c r="N40" s="40">
        <v>160</v>
      </c>
      <c r="O40" s="40">
        <v>240</v>
      </c>
      <c r="P40" s="43">
        <f>+N40*E40</f>
        <v>3200</v>
      </c>
      <c r="Q40" s="47">
        <f>+G40+K40+L40+P40+M40</f>
        <v>21079.047582417585</v>
      </c>
      <c r="R40" s="48">
        <f>+Q40/I40</f>
        <v>1239.9439754363284</v>
      </c>
      <c r="S40" s="48">
        <v>1300</v>
      </c>
      <c r="T40" s="48">
        <f>+S40*I40</f>
        <v>22100</v>
      </c>
    </row>
    <row r="43" spans="1:20" x14ac:dyDescent="0.3">
      <c r="A43" t="s">
        <v>20</v>
      </c>
      <c r="B43">
        <v>6</v>
      </c>
      <c r="C43">
        <f>+F40*B43</f>
        <v>1230</v>
      </c>
    </row>
    <row r="44" spans="1:20" x14ac:dyDescent="0.3">
      <c r="A44" t="s">
        <v>19</v>
      </c>
      <c r="B44">
        <v>9</v>
      </c>
      <c r="C44">
        <f>+B44*F40</f>
        <v>1845</v>
      </c>
    </row>
    <row r="46" spans="1:20" x14ac:dyDescent="0.3">
      <c r="A46" t="s">
        <v>105</v>
      </c>
      <c r="B46" s="65">
        <v>150</v>
      </c>
      <c r="C46">
        <f>50*150</f>
        <v>7500</v>
      </c>
    </row>
  </sheetData>
  <mergeCells count="3">
    <mergeCell ref="S21:S23"/>
    <mergeCell ref="Q21:Q23"/>
    <mergeCell ref="T21:T23"/>
  </mergeCell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2024 - 2025</vt:lpstr>
      <vt:lpstr>breakdown</vt:lpstr>
      <vt:lpstr>'2024 - 2025'!Print_Area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morse</dc:creator>
  <cp:lastModifiedBy>sarah morse</cp:lastModifiedBy>
  <cp:lastPrinted>2024-05-10T12:28:43Z</cp:lastPrinted>
  <dcterms:created xsi:type="dcterms:W3CDTF">2024-04-09T13:54:19Z</dcterms:created>
  <dcterms:modified xsi:type="dcterms:W3CDTF">2024-05-10T12:40:02Z</dcterms:modified>
</cp:coreProperties>
</file>